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6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7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8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Shattuck\AppData\Local\Microsoft\Windows\INetCache\Content.Outlook\P1HSZTXR\"/>
    </mc:Choice>
  </mc:AlternateContent>
  <xr:revisionPtr revIDLastSave="0" documentId="13_ncr:1_{9612782A-56D9-4D10-9051-DAA6865918B1}" xr6:coauthVersionLast="47" xr6:coauthVersionMax="47" xr10:uidLastSave="{00000000-0000-0000-0000-000000000000}"/>
  <bookViews>
    <workbookView xWindow="1480" yWindow="600" windowWidth="15950" windowHeight="9470" xr2:uid="{999D966D-5132-4115-AEE5-E9DFD9B3469F}"/>
  </bookViews>
  <sheets>
    <sheet name="6 and 10 Year AMO Overview" sheetId="12" r:id="rId1"/>
    <sheet name="2020-21" sheetId="32" r:id="rId2"/>
    <sheet name="2019-20" sheetId="27" r:id="rId3"/>
    <sheet name="2018-19" sheetId="22" r:id="rId4"/>
    <sheet name="2017-18" sheetId="23" r:id="rId5"/>
    <sheet name="2016-17" sheetId="24" r:id="rId6"/>
    <sheet name="2015-16" sheetId="25" r:id="rId7"/>
    <sheet name="2014-15" sheetId="26" r:id="rId8"/>
    <sheet name="2013-14" sheetId="28" r:id="rId9"/>
    <sheet name="2012-13" sheetId="29" r:id="rId10"/>
    <sheet name="2011-12" sheetId="30" r:id="rId11"/>
    <sheet name="Alert" sheetId="18" state="hidden" r:id="rId12"/>
  </sheets>
  <definedNames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7">'2014-15'!$A:$E,'2014-15'!$1:$2</definedName>
    <definedName name="_xlnm.Print_Titles" localSheetId="6">'2015-16'!$A:$E,'2015-16'!$1:$2</definedName>
    <definedName name="_xlnm.Print_Titles" localSheetId="5">'2016-17'!$A:$E,'2016-17'!$1:$2</definedName>
    <definedName name="_xlnm.Print_Titles" localSheetId="4">'2017-18'!$A:$E,'2017-18'!$1:$2</definedName>
    <definedName name="_xlnm.Print_Titles" localSheetId="3">'2018-19'!$A:$E,'2018-19'!$1:$2</definedName>
    <definedName name="_xlnm.Print_Titles" localSheetId="2">'2019-20'!$A:$E,'2019-20'!$1:$2</definedName>
    <definedName name="_xlnm.Print_Titles" localSheetId="1">'2020-21'!$A:$E,'2020-21'!$1:$2</definedName>
    <definedName name="_xlnm.Print_Titles" localSheetId="0">'6 and 10 Year AMO Overview'!$A:$E,'6 and 10 Year AMO Overview'!$1:$2</definedName>
    <definedName name="QB_COLUMN_59200" localSheetId="7" hidden="1">'2014-15'!$F$2</definedName>
    <definedName name="QB_COLUMN_59200" localSheetId="6" hidden="1">'2015-16'!$F$2</definedName>
    <definedName name="QB_COLUMN_59200" localSheetId="5" hidden="1">'2016-17'!$F$2</definedName>
    <definedName name="QB_COLUMN_59200" localSheetId="4" hidden="1">'2017-18'!$F$2</definedName>
    <definedName name="QB_COLUMN_59200" localSheetId="3" hidden="1">'2018-19'!$F$2</definedName>
    <definedName name="QB_COLUMN_59200" localSheetId="2" hidden="1">'2019-20'!$F$2</definedName>
    <definedName name="QB_COLUMN_59200" localSheetId="1" hidden="1">'2020-21'!$F$2</definedName>
    <definedName name="QB_COLUMN_59200" localSheetId="0" hidden="1">'6 and 10 Year AMO Overview'!$F$2</definedName>
    <definedName name="QB_COLUMN_61210" localSheetId="7" hidden="1">'2014-15'!$H$2</definedName>
    <definedName name="QB_COLUMN_61210" localSheetId="6" hidden="1">'2015-16'!$H$2</definedName>
    <definedName name="QB_COLUMN_61210" localSheetId="5" hidden="1">'2016-17'!$H$2</definedName>
    <definedName name="QB_COLUMN_61210" localSheetId="4" hidden="1">'2017-18'!$H$2</definedName>
    <definedName name="QB_COLUMN_61210" localSheetId="3" hidden="1">'2018-19'!$H$2</definedName>
    <definedName name="QB_COLUMN_61210" localSheetId="2" hidden="1">'2019-20'!$H$2</definedName>
    <definedName name="QB_COLUMN_61210" localSheetId="1" hidden="1">'2020-21'!$H$2</definedName>
    <definedName name="QB_COLUMN_61210" localSheetId="0" hidden="1">'6 and 10 Year AMO Overview'!#REF!</definedName>
    <definedName name="QB_COLUMN_63620" localSheetId="7" hidden="1">'2014-15'!$J$2</definedName>
    <definedName name="QB_COLUMN_63620" localSheetId="6" hidden="1">'2015-16'!$J$2</definedName>
    <definedName name="QB_COLUMN_63620" localSheetId="5" hidden="1">'2016-17'!$J$2</definedName>
    <definedName name="QB_COLUMN_63620" localSheetId="4" hidden="1">'2017-18'!$J$2</definedName>
    <definedName name="QB_COLUMN_63620" localSheetId="3" hidden="1">'2018-19'!$J$2</definedName>
    <definedName name="QB_COLUMN_63620" localSheetId="2" hidden="1">'2019-20'!$J$2</definedName>
    <definedName name="QB_COLUMN_63620" localSheetId="1" hidden="1">'2020-21'!$J$2</definedName>
    <definedName name="QB_COLUMN_63620" localSheetId="0" hidden="1">'6 and 10 Year AMO Overview'!#REF!</definedName>
    <definedName name="QB_COLUMN_64830" localSheetId="7" hidden="1">'2014-15'!$L$2</definedName>
    <definedName name="QB_COLUMN_64830" localSheetId="6" hidden="1">'2015-16'!$L$2</definedName>
    <definedName name="QB_COLUMN_64830" localSheetId="5" hidden="1">'2016-17'!$L$2</definedName>
    <definedName name="QB_COLUMN_64830" localSheetId="4" hidden="1">'2017-18'!$L$2</definedName>
    <definedName name="QB_COLUMN_64830" localSheetId="3" hidden="1">'2018-19'!$L$2</definedName>
    <definedName name="QB_COLUMN_64830" localSheetId="2" hidden="1">'2019-20'!$L$2</definedName>
    <definedName name="QB_COLUMN_64830" localSheetId="1" hidden="1">'2020-21'!$L$2</definedName>
    <definedName name="QB_COLUMN_64830" localSheetId="0" hidden="1">'6 and 10 Year AMO Overview'!#REF!</definedName>
    <definedName name="QB_DATA_0" localSheetId="7" hidden="1">'2014-15'!$6:$6,'2014-15'!$7:$7,'2014-15'!$8:$8,'2014-15'!$9:$9,'2014-15'!$10:$10,'2014-15'!$11:$11,'2014-15'!$12:$12,'2014-15'!$13:$13,'2014-15'!$14:$14,'2014-15'!$15:$15,'2014-15'!$16:$16,'2014-15'!$19:$19,'2014-15'!$20:$20,'2014-15'!$21:$21,'2014-15'!$22:$22,'2014-15'!$23:$23</definedName>
    <definedName name="QB_DATA_0" localSheetId="6" hidden="1">'2015-16'!$6:$6,'2015-16'!$7:$7,'2015-16'!$8:$8,'2015-16'!$9:$9,'2015-16'!$10:$10,'2015-16'!$11:$11,'2015-16'!$12:$12,'2015-16'!$13:$13,'2015-16'!$14:$14,'2015-16'!$17:$17,'2015-16'!$18:$18,'2015-16'!$19:$19,'2015-16'!$20:$20,'2015-16'!$21:$21,'2015-16'!$24:$24,'2015-16'!$26:$26</definedName>
    <definedName name="QB_DATA_0" localSheetId="5" hidden="1">'2016-17'!$6:$6,'2016-17'!$7:$7,'2016-17'!$8:$8,'2016-17'!$9:$9,'2016-17'!$10:$10,'2016-17'!$11:$11,'2016-17'!$12:$12,'2016-17'!$13:$13,'2016-17'!$14:$14,'2016-17'!$17:$17,'2016-17'!$18:$18,'2016-17'!$19:$19,'2016-17'!$20:$20,'2016-17'!$22:$22,'2016-17'!$24:$24,'2016-17'!$25:$25</definedName>
    <definedName name="QB_DATA_0" localSheetId="4" hidden="1">'2017-18'!$6:$6,'2017-18'!$7:$7,'2017-18'!$8:$8,'2017-18'!$9:$9,'2017-18'!$10:$10,'2017-18'!$11:$11,'2017-18'!$12:$12,'2017-18'!$13:$13,'2017-18'!$14:$14,'2017-18'!$15:$15,'2017-18'!$18:$18,'2017-18'!$19:$19,'2017-18'!$20:$20,'2017-18'!$21:$21,'2017-18'!$22:$22,'2017-18'!$24:$24</definedName>
    <definedName name="QB_DATA_0" localSheetId="3" hidden="1">'2018-19'!$6:$6,'2018-19'!$7:$7,'2018-19'!$8:$8,'2018-19'!$9:$9,'2018-19'!$10:$10,'2018-19'!$11:$11,'2018-19'!$12:$12,'2018-19'!$13:$13,'2018-19'!$16:$16,'2018-19'!$17:$17,'2018-19'!$18:$18,'2018-19'!$19:$19,'2018-19'!$21:$21,'2018-19'!$23:$23,'2018-19'!$25:$25</definedName>
    <definedName name="QB_DATA_0" localSheetId="2" hidden="1">'2019-20'!$6:$6,'2019-20'!$7:$7,'2019-20'!$8:$8,'2019-20'!$9:$9,'2019-20'!$10:$10,'2019-20'!$11:$11,'2019-20'!$12:$12,'2019-20'!$13:$13,'2019-20'!$14:$14,'2019-20'!$15:$15,'2019-20'!$18:$18,'2019-20'!$19:$19,'2019-20'!$20:$20,'2019-20'!$21:$21,'2019-20'!$22:$22,'2019-20'!$24:$24</definedName>
    <definedName name="QB_DATA_0" localSheetId="1" hidden="1">'2020-21'!$6:$6,'2020-21'!$7:$7,'2020-21'!$8:$8,'2020-21'!$9:$9,'2020-21'!$10:$10,'2020-21'!$11:$11,'2020-21'!$12:$12,'2020-21'!$13:$13,'2020-21'!$14:$14,'2020-21'!$17:$17,'2020-21'!$18:$18,'2020-21'!$19:$19,'2020-21'!$20:$20,'2020-21'!$21:$21,'2020-21'!$25:$25</definedName>
    <definedName name="QB_DATA_0" localSheetId="0" hidden="1">'6 and 10 Year AMO Overview'!$6:$6,'6 and 10 Year AMO Overview'!$7:$7,'6 and 10 Year AMO Overview'!#REF!,'6 and 10 Year AMO Overview'!#REF!,'6 and 10 Year AMO Overview'!#REF!,'6 and 10 Year AMO Overview'!#REF!,'6 and 10 Year AMO Overview'!#REF!,'6 and 10 Year AMO Overview'!#REF!,'6 and 10 Year AMO Overview'!$10:$10,'6 and 10 Year AMO Overview'!$11:$11,'6 and 10 Year AMO Overview'!#REF!,'6 and 10 Year AMO Overview'!#REF!,'6 and 10 Year AMO Overview'!#REF!,'6 and 10 Year AMO Overview'!#REF!,'6 and 10 Year AMO Overview'!#REF!</definedName>
    <definedName name="QB_DATA_1" localSheetId="7" hidden="1">'2014-15'!$24:$24,'2014-15'!$27:$27,'2014-15'!$28:$28,'2014-15'!$29:$29,'2014-15'!$31:$31</definedName>
    <definedName name="QB_DATA_1" localSheetId="5" hidden="1">'2016-17'!$27:$27</definedName>
    <definedName name="QB_DATA_1" localSheetId="4" hidden="1">'2017-18'!$26:$26,'2017-18'!$27:$27,'2017-18'!$29:$29</definedName>
    <definedName name="QB_DATA_1" localSheetId="2" hidden="1">'2019-20'!$26:$26,'2019-20'!$28:$28</definedName>
    <definedName name="QB_FORMULA_0" localSheetId="7" hidden="1">'2014-15'!$J$6,'2014-15'!$L$6,'2014-15'!$J$7,'2014-15'!$L$7,'2014-15'!$J$8,'2014-15'!$L$8,'2014-15'!$J$9,'2014-15'!$L$9,'2014-15'!$J$10,'2014-15'!$L$10,'2014-15'!$J$11,'2014-15'!$L$11,'2014-15'!$J$12,'2014-15'!$L$12,'2014-15'!$J$13,'2014-15'!$L$13</definedName>
    <definedName name="QB_FORMULA_0" localSheetId="6" hidden="1">'2015-16'!$J$6,'2015-16'!$L$6,'2015-16'!$J$7,'2015-16'!$L$7,'2015-16'!$J$8,'2015-16'!$L$8,'2015-16'!$J$9,'2015-16'!$L$9,'2015-16'!$J$10,'2015-16'!$L$10,'2015-16'!$J$11,'2015-16'!$L$11,'2015-16'!$J$12,'2015-16'!$L$12,'2015-16'!$J$13,'2015-16'!$L$13</definedName>
    <definedName name="QB_FORMULA_0" localSheetId="5" hidden="1">'2016-17'!$J$6,'2016-17'!$L$6,'2016-17'!$J$7,'2016-17'!$L$7,'2016-17'!$J$8,'2016-17'!$L$8,'2016-17'!$J$9,'2016-17'!$L$9,'2016-17'!$J$10,'2016-17'!$L$10,'2016-17'!$J$11,'2016-17'!$L$11,'2016-17'!$J$12,'2016-17'!$L$12,'2016-17'!$J$13,'2016-17'!$L$13</definedName>
    <definedName name="QB_FORMULA_0" localSheetId="4" hidden="1">'2017-18'!$J$6,'2017-18'!$L$6,'2017-18'!$J$7,'2017-18'!$L$7,'2017-18'!$J$8,'2017-18'!$L$8,'2017-18'!$J$9,'2017-18'!$L$9,'2017-18'!$J$10,'2017-18'!$L$10,'2017-18'!$J$11,'2017-18'!$L$11,'2017-18'!$J$12,'2017-18'!$L$12,'2017-18'!$J$13,'2017-18'!$L$13</definedName>
    <definedName name="QB_FORMULA_0" localSheetId="3" hidden="1">'2018-19'!$J$6,'2018-19'!$L$6,'2018-19'!$J$7,'2018-19'!$L$7,'2018-19'!$J$8,'2018-19'!$L$8,'2018-19'!$J$9,'2018-19'!$L$9,'2018-19'!$J$10,'2018-19'!$L$10,'2018-19'!$J$11,'2018-19'!$L$11,'2018-19'!$J$12,'2018-19'!$L$12,'2018-19'!$J$13,'2018-19'!$L$13</definedName>
    <definedName name="QB_FORMULA_0" localSheetId="2" hidden="1">'2019-20'!$J$6,'2019-20'!$L$6,'2019-20'!$J$7,'2019-20'!$L$7,'2019-20'!$J$8,'2019-20'!$L$8,'2019-20'!$J$9,'2019-20'!$L$9,'2019-20'!$J$10,'2019-20'!$L$10,'2019-20'!$J$11,'2019-20'!$L$11,'2019-20'!$J$12,'2019-20'!$L$12,'2019-20'!$J$13,'2019-20'!$L$13</definedName>
    <definedName name="QB_FORMULA_0" localSheetId="1" hidden="1">'2020-21'!$J$6,'2020-21'!$L$6,'2020-21'!$J$7,'2020-21'!$L$7,'2020-21'!$J$8,'2020-21'!$L$8,'2020-21'!$J$9,'2020-21'!$L$9,'2020-21'!$J$10,'2020-21'!$L$10,'2020-21'!$J$11,'2020-21'!$L$11,'2020-21'!$J$12,'2020-21'!$L$12,'2020-21'!$J$13,'2020-21'!$L$13</definedName>
    <definedName name="QB_FORMULA_0" localSheetId="0" hidden="1">'6 and 10 Year AMO Overview'!#REF!,'6 and 10 Year AMO Overview'!#REF!,'6 and 10 Year AMO Overview'!#REF!,'6 and 10 Year AMO Overview'!#REF!,'6 and 10 Year AMO Overview'!#REF!,'6 and 10 Year AMO Overview'!#REF!,'6 and 10 Year AMO Overview'!#REF!,'6 and 10 Year AMO Overview'!#REF!,'6 and 10 Year AMO Overview'!#REF!,'6 and 10 Year AMO Overview'!#REF!,'6 and 10 Year AMO Overview'!#REF!,'6 and 10 Year AMO Overview'!#REF!,'6 and 10 Year AMO Overview'!#REF!,'6 and 10 Year AMO Overview'!#REF!,'6 and 10 Year AMO Overview'!#REF!,'6 and 10 Year AMO Overview'!#REF!</definedName>
    <definedName name="QB_FORMULA_1" localSheetId="7" hidden="1">'2014-15'!$J$14,'2014-15'!$L$14,'2014-15'!$J$15,'2014-15'!$L$15,'2014-15'!$J$16,'2014-15'!$L$16,'2014-15'!$F$17,'2014-15'!$H$17,'2014-15'!$J$17,'2014-15'!$L$17,'2014-15'!$J$19,'2014-15'!$L$19,'2014-15'!$J$20,'2014-15'!$L$20,'2014-15'!$J$21,'2014-15'!$L$21</definedName>
    <definedName name="QB_FORMULA_1" localSheetId="6" hidden="1">'2015-16'!$J$14,'2015-16'!$L$14,'2015-16'!$F$15,'2015-16'!$H$15,'2015-16'!$J$15,'2015-16'!$L$15,'2015-16'!$J$17,'2015-16'!$L$17,'2015-16'!$J$18,'2015-16'!$L$18,'2015-16'!$J$19,'2015-16'!$L$19,'2015-16'!$J$20,'2015-16'!$L$20,'2015-16'!$J$21,'2015-16'!$L$21</definedName>
    <definedName name="QB_FORMULA_1" localSheetId="5" hidden="1">'2016-17'!$J$14,'2016-17'!$L$14,'2016-17'!$F$15,'2016-17'!$H$15,'2016-17'!$J$15,'2016-17'!$L$15,'2016-17'!$J$17,'2016-17'!$L$17,'2016-17'!$J$18,'2016-17'!$L$18,'2016-17'!$J$19,'2016-17'!$L$19,'2016-17'!$J$20,'2016-17'!$L$20,'2016-17'!$F$21,'2016-17'!$H$21</definedName>
    <definedName name="QB_FORMULA_1" localSheetId="4" hidden="1">'2017-18'!$J$14,'2017-18'!$L$14,'2017-18'!$J$15,'2017-18'!$L$15,'2017-18'!$F$16,'2017-18'!$H$16,'2017-18'!$J$16,'2017-18'!$L$16,'2017-18'!$J$18,'2017-18'!$L$18,'2017-18'!$J$19,'2017-18'!$L$19,'2017-18'!$J$20,'2017-18'!$L$20,'2017-18'!$J$21,'2017-18'!$L$21</definedName>
    <definedName name="QB_FORMULA_1" localSheetId="3" hidden="1">'2018-19'!$F$14,'2018-19'!$H$14,'2018-19'!$J$14,'2018-19'!$L$14,'2018-19'!$J$16,'2018-19'!$L$16,'2018-19'!$J$17,'2018-19'!$L$17,'2018-19'!$J$18,'2018-19'!$L$18,'2018-19'!$J$19,'2018-19'!$L$19,'2018-19'!$F$20,'2018-19'!$H$20,'2018-19'!$J$20,'2018-19'!$L$20</definedName>
    <definedName name="QB_FORMULA_1" localSheetId="2" hidden="1">'2019-20'!$J$14,'2019-20'!$L$14,'2019-20'!$J$15,'2019-20'!$L$15,'2019-20'!$F$16,'2019-20'!$H$16,'2019-20'!$J$16,'2019-20'!$L$16,'2019-20'!$J$18,'2019-20'!$L$18,'2019-20'!$J$19,'2019-20'!$L$19,'2019-20'!$J$20,'2019-20'!$L$20,'2019-20'!$J$21,'2019-20'!$L$21</definedName>
    <definedName name="QB_FORMULA_1" localSheetId="1" hidden="1">'2020-21'!$J$14,'2020-21'!$L$14,'2020-21'!$F$15,'2020-21'!$H$15,'2020-21'!$J$15,'2020-21'!$L$15,'2020-21'!$J$17,'2020-21'!$L$17,'2020-21'!$J$18,'2020-21'!$L$18,'2020-21'!$J$19,'2020-21'!$L$19,'2020-21'!$J$20,'2020-21'!$L$20,'2020-21'!$J$21,'2020-21'!$L$21</definedName>
    <definedName name="QB_FORMULA_1" localSheetId="0" hidden="1">'6 and 10 Year AMO Overview'!$F$8,'6 and 10 Year AMO Overview'!#REF!,'6 and 10 Year AMO Overview'!#REF!,'6 and 10 Year AMO Overview'!#REF!,'6 and 10 Year AMO Overview'!#REF!,'6 and 10 Year AMO Overview'!#REF!,'6 and 10 Year AMO Overview'!#REF!,'6 and 10 Year AMO Overview'!#REF!,'6 and 10 Year AMO Overview'!#REF!,'6 and 10 Year AMO Overview'!#REF!,'6 and 10 Year AMO Overview'!#REF!,'6 and 10 Year AMO Overview'!#REF!,'6 and 10 Year AMO Overview'!$F$12,'6 and 10 Year AMO Overview'!#REF!,'6 and 10 Year AMO Overview'!#REF!,'6 and 10 Year AMO Overview'!#REF!</definedName>
    <definedName name="QB_FORMULA_2" localSheetId="7" hidden="1">'2014-15'!$J$22,'2014-15'!$L$22,'2014-15'!$J$23,'2014-15'!$L$23,'2014-15'!$J$24,'2014-15'!$L$24,'2014-15'!$F$25,'2014-15'!$H$25,'2014-15'!$J$25,'2014-15'!$L$25,'2014-15'!$F$26,'2014-15'!$H$26,'2014-15'!$J$26,'2014-15'!$L$26,'2014-15'!$J$27,'2014-15'!$L$27</definedName>
    <definedName name="QB_FORMULA_2" localSheetId="6" hidden="1">'2015-16'!$F$22,'2015-16'!$H$22,'2015-16'!$J$22,'2015-16'!$L$22,'2015-16'!$F$23,'2015-16'!$H$23,'2015-16'!$J$23,'2015-16'!$L$23,'2015-16'!$J$24,'2015-16'!$L$24,'2015-16'!$F$25,'2015-16'!$H$25,'2015-16'!$J$25,'2015-16'!$L$25,'2015-16'!$J$26,'2015-16'!$L$26</definedName>
    <definedName name="QB_FORMULA_2" localSheetId="5" hidden="1">'2016-17'!$J$21,'2016-17'!$L$21,'2016-17'!$J$22,'2016-17'!$L$22,'2016-17'!$F$23,'2016-17'!$H$23,'2016-17'!$J$23,'2016-17'!$L$23,'2016-17'!$J$24,'2016-17'!$L$24,'2016-17'!$J$25,'2016-17'!$L$25,'2016-17'!$F$26,'2016-17'!$H$26,'2016-17'!$J$26,'2016-17'!$L$26</definedName>
    <definedName name="QB_FORMULA_2" localSheetId="4" hidden="1">'2017-18'!$J$22,'2017-18'!$L$22,'2017-18'!$F$23,'2017-18'!$H$23,'2017-18'!$J$23,'2017-18'!$L$23,'2017-18'!$J$24,'2017-18'!$L$24,'2017-18'!$F$25,'2017-18'!$H$25,'2017-18'!$J$25,'2017-18'!$L$25,'2017-18'!$J$26,'2017-18'!$L$26,'2017-18'!$J$27,'2017-18'!$L$27</definedName>
    <definedName name="QB_FORMULA_2" localSheetId="3" hidden="1">'2018-19'!$J$21,'2018-19'!$L$21,'2018-19'!$F$22,'2018-19'!$H$22,'2018-19'!$J$22,'2018-19'!$L$22,'2018-19'!$J$23,'2018-19'!$L$23,'2018-19'!$F$24,'2018-19'!$H$24,'2018-19'!$J$24,'2018-19'!$L$24,'2018-19'!$J$25,'2018-19'!$L$25,'2018-19'!$F$26,'2018-19'!$H$26</definedName>
    <definedName name="QB_FORMULA_2" localSheetId="2" hidden="1">'2019-20'!$J$22,'2019-20'!$L$22,'2019-20'!$F$23,'2019-20'!$H$23,'2019-20'!$J$23,'2019-20'!$L$23,'2019-20'!$J$24,'2019-20'!$L$24,'2019-20'!$F$25,'2019-20'!$H$25,'2019-20'!$J$25,'2019-20'!$L$25,'2019-20'!$J$26,'2019-20'!$L$26,'2019-20'!$F$27,'2019-20'!$H$27</definedName>
    <definedName name="QB_FORMULA_2" localSheetId="1" hidden="1">'2020-21'!$F$22,'2020-21'!$H$22,'2020-21'!$J$22,'2020-21'!$L$22,'2020-21'!$F$23,'2020-21'!$H$23,'2020-21'!$J$23,'2020-21'!$L$23,'2020-21'!$F$24,'2020-21'!$H$24,'2020-21'!$J$24,'2020-21'!$L$24,'2020-21'!$J$25,'2020-21'!$L$25,'2020-21'!$F$26,'2020-21'!$H$26</definedName>
    <definedName name="QB_FORMULA_2" localSheetId="0" hidden="1">'6 and 10 Year AMO Overview'!#REF!,'6 and 10 Year AMO Overview'!#REF!,'6 and 10 Year AMO Overview'!$F$18,'6 and 10 Year AMO Overview'!#REF!,'6 and 10 Year AMO Overview'!#REF!,'6 and 10 Year AMO Overview'!#REF!,'6 and 10 Year AMO Overview'!#REF!,'6 and 10 Year AMO Overview'!#REF!,'6 and 10 Year AMO Overview'!#REF!,'6 and 10 Year AMO Overview'!#REF!,'6 and 10 Year AMO Overview'!#REF!,'6 and 10 Year AMO Overview'!#REF!,'6 and 10 Year AMO Overview'!#REF!,'6 and 10 Year AMO Overview'!#REF!,'6 and 10 Year AMO Overview'!#REF!,'6 and 10 Year AMO Overview'!#REF!</definedName>
    <definedName name="QB_FORMULA_3" localSheetId="7" hidden="1">'2014-15'!$J$28,'2014-15'!$L$28,'2014-15'!$J$29,'2014-15'!$L$29,'2014-15'!$F$30,'2014-15'!$H$30,'2014-15'!$J$30,'2014-15'!$L$30,'2014-15'!$J$31,'2014-15'!$L$31,'2014-15'!$F$32,'2014-15'!$H$32,'2014-15'!$J$32,'2014-15'!$L$32</definedName>
    <definedName name="QB_FORMULA_3" localSheetId="6" hidden="1">'2015-16'!$F$27,'2015-16'!$H$27,'2015-16'!$J$27,'2015-16'!$L$27</definedName>
    <definedName name="QB_FORMULA_3" localSheetId="5" hidden="1">'2016-17'!$J$27,'2016-17'!$L$27,'2016-17'!$F$28,'2016-17'!$H$28,'2016-17'!$J$28,'2016-17'!$L$28</definedName>
    <definedName name="QB_FORMULA_3" localSheetId="4" hidden="1">'2017-18'!$F$28,'2017-18'!$H$28,'2017-18'!$J$28,'2017-18'!$L$28,'2017-18'!$J$29,'2017-18'!$L$29,'2017-18'!$F$30,'2017-18'!$H$30,'2017-18'!$J$30,'2017-18'!$L$30</definedName>
    <definedName name="QB_FORMULA_3" localSheetId="3" hidden="1">'2018-19'!$J$26,'2018-19'!$L$26</definedName>
    <definedName name="QB_FORMULA_3" localSheetId="2" hidden="1">'2019-20'!$J$27,'2019-20'!$L$27,'2019-20'!$J$28,'2019-20'!$L$28,'2019-20'!$F$29,'2019-20'!$H$29,'2019-20'!$J$29,'2019-20'!$L$29</definedName>
    <definedName name="QB_FORMULA_3" localSheetId="1" hidden="1">'2020-21'!$J$26,'2020-21'!$L$26</definedName>
    <definedName name="QB_FORMULA_3" localSheetId="0" hidden="1">'6 and 10 Year AMO Overview'!#REF!,'6 and 10 Year AMO Overview'!#REF!</definedName>
    <definedName name="QB_ROW_100240" localSheetId="7" hidden="1">'2014-15'!$E$10</definedName>
    <definedName name="QB_ROW_100240" localSheetId="6" hidden="1">'2015-16'!$E$14</definedName>
    <definedName name="QB_ROW_103240" localSheetId="7" hidden="1">'2014-15'!$E$21</definedName>
    <definedName name="QB_ROW_103240" localSheetId="6" hidden="1">'2015-16'!$E$20</definedName>
    <definedName name="QB_ROW_104240" localSheetId="7" hidden="1">'2014-15'!$E$16</definedName>
    <definedName name="QB_ROW_105240" localSheetId="7" hidden="1">'2014-15'!$E$11</definedName>
    <definedName name="QB_ROW_105240" localSheetId="6" hidden="1">'2015-16'!$E$13</definedName>
    <definedName name="QB_ROW_106240" localSheetId="7" hidden="1">'2014-15'!$E$7</definedName>
    <definedName name="QB_ROW_106240" localSheetId="6" hidden="1">'2015-16'!$E$9</definedName>
    <definedName name="QB_ROW_106240" localSheetId="5" hidden="1">'2016-17'!$E$11</definedName>
    <definedName name="QB_ROW_106240" localSheetId="4" hidden="1">'2017-18'!$E$13</definedName>
    <definedName name="QB_ROW_107240" localSheetId="7" hidden="1">'2014-15'!$E$9</definedName>
    <definedName name="QB_ROW_107240" localSheetId="6" hidden="1">'2015-16'!$E$11</definedName>
    <definedName name="QB_ROW_107240" localSheetId="5" hidden="1">'2016-17'!$E$13</definedName>
    <definedName name="QB_ROW_107240" localSheetId="4" hidden="1">'2017-18'!$E$12</definedName>
    <definedName name="QB_ROW_108240" localSheetId="7" hidden="1">'2014-15'!$E$20</definedName>
    <definedName name="QB_ROW_108240" localSheetId="6" hidden="1">'2015-16'!$E$19</definedName>
    <definedName name="QB_ROW_108240" localSheetId="5" hidden="1">'2016-17'!$E$20</definedName>
    <definedName name="QB_ROW_108240" localSheetId="4" hidden="1">'2017-18'!$E$22</definedName>
    <definedName name="QB_ROW_109240" localSheetId="7" hidden="1">'2014-15'!$E$19</definedName>
    <definedName name="QB_ROW_109240" localSheetId="6" hidden="1">'2015-16'!$E$18</definedName>
    <definedName name="QB_ROW_109240" localSheetId="5" hidden="1">'2016-17'!$E$19</definedName>
    <definedName name="QB_ROW_109240" localSheetId="4" hidden="1">'2017-18'!$E$21</definedName>
    <definedName name="QB_ROW_110240" localSheetId="7" hidden="1">'2014-15'!$E$8</definedName>
    <definedName name="QB_ROW_110240" localSheetId="6" hidden="1">'2015-16'!$E$10</definedName>
    <definedName name="QB_ROW_110240" localSheetId="5" hidden="1">'2016-17'!$E$12</definedName>
    <definedName name="QB_ROW_110240" localSheetId="4" hidden="1">'2017-18'!$E$15</definedName>
    <definedName name="QB_ROW_111240" localSheetId="7" hidden="1">'2014-15'!$E$6</definedName>
    <definedName name="QB_ROW_111240" localSheetId="6" hidden="1">'2015-16'!$E$7</definedName>
    <definedName name="QB_ROW_111240" localSheetId="5" hidden="1">'2016-17'!$E$10</definedName>
    <definedName name="QB_ROW_111240" localSheetId="4" hidden="1">'2017-18'!$E$14</definedName>
    <definedName name="QB_ROW_112240" localSheetId="6" hidden="1">'2015-16'!$E$6</definedName>
    <definedName name="QB_ROW_112240" localSheetId="5" hidden="1">'2016-17'!$E$7</definedName>
    <definedName name="QB_ROW_112240" localSheetId="4" hidden="1">'2017-18'!$E$9</definedName>
    <definedName name="QB_ROW_112240" localSheetId="3" hidden="1">'2018-19'!$E$13</definedName>
    <definedName name="QB_ROW_112240" localSheetId="2" hidden="1">'2019-20'!$E$15</definedName>
    <definedName name="QB_ROW_112240" localSheetId="0" hidden="1">'6 and 10 Year AMO Overview'!#REF!</definedName>
    <definedName name="QB_ROW_113240" localSheetId="6" hidden="1">'2015-16'!$E$8</definedName>
    <definedName name="QB_ROW_113240" localSheetId="5" hidden="1">'2016-17'!$E$9</definedName>
    <definedName name="QB_ROW_113240" localSheetId="4" hidden="1">'2017-18'!$E$11</definedName>
    <definedName name="QB_ROW_113240" localSheetId="3" hidden="1">'2018-19'!$E$11</definedName>
    <definedName name="QB_ROW_113240" localSheetId="2" hidden="1">'2019-20'!$E$13</definedName>
    <definedName name="QB_ROW_113240" localSheetId="0" hidden="1">'6 and 10 Year AMO Overview'!#REF!</definedName>
    <definedName name="QB_ROW_114240" localSheetId="6" hidden="1">'2015-16'!$E$17</definedName>
    <definedName name="QB_ROW_114240" localSheetId="5" hidden="1">'2016-17'!$E$18</definedName>
    <definedName name="QB_ROW_114240" localSheetId="4" hidden="1">'2017-18'!$E$20</definedName>
    <definedName name="QB_ROW_114240" localSheetId="3" hidden="1">'2018-19'!$E$19</definedName>
    <definedName name="QB_ROW_114240" localSheetId="2" hidden="1">'2019-20'!$E$22</definedName>
    <definedName name="QB_ROW_114240" localSheetId="0" hidden="1">'6 and 10 Year AMO Overview'!#REF!</definedName>
    <definedName name="QB_ROW_116240" localSheetId="5" hidden="1">'2016-17'!$E$8</definedName>
    <definedName name="QB_ROW_116240" localSheetId="4" hidden="1">'2017-18'!$E$10</definedName>
    <definedName name="QB_ROW_116240" localSheetId="3" hidden="1">'2018-19'!$E$12</definedName>
    <definedName name="QB_ROW_116240" localSheetId="2" hidden="1">'2019-20'!$E$11</definedName>
    <definedName name="QB_ROW_116240" localSheetId="1" hidden="1">'2020-21'!$E$10</definedName>
    <definedName name="QB_ROW_116240" localSheetId="0" hidden="1">'6 and 10 Year AMO Overview'!#REF!</definedName>
    <definedName name="QB_ROW_117240" localSheetId="5" hidden="1">'2016-17'!$E$6</definedName>
    <definedName name="QB_ROW_117240" localSheetId="4" hidden="1">'2017-18'!$E$7</definedName>
    <definedName name="QB_ROW_117240" localSheetId="3" hidden="1">'2018-19'!$E$8</definedName>
    <definedName name="QB_ROW_117240" localSheetId="2" hidden="1">'2019-20'!$E$14</definedName>
    <definedName name="QB_ROW_117240" localSheetId="0" hidden="1">'6 and 10 Year AMO Overview'!#REF!</definedName>
    <definedName name="QB_ROW_118240" localSheetId="5" hidden="1">'2016-17'!$E$17</definedName>
    <definedName name="QB_ROW_118240" localSheetId="4" hidden="1">'2017-18'!$E$19</definedName>
    <definedName name="QB_ROW_118240" localSheetId="3" hidden="1">'2018-19'!$E$18</definedName>
    <definedName name="QB_ROW_118240" localSheetId="2" hidden="1">'2019-20'!$E$21</definedName>
    <definedName name="QB_ROW_118240" localSheetId="1" hidden="1">'2020-21'!$E$19</definedName>
    <definedName name="QB_ROW_118240" localSheetId="0" hidden="1">'6 and 10 Year AMO Overview'!#REF!</definedName>
    <definedName name="QB_ROW_120240" localSheetId="4" hidden="1">'2017-18'!$E$8</definedName>
    <definedName name="QB_ROW_120240" localSheetId="3" hidden="1">'2018-19'!$E$10</definedName>
    <definedName name="QB_ROW_120240" localSheetId="2" hidden="1">'2019-20'!$E$12</definedName>
    <definedName name="QB_ROW_120240" localSheetId="1" hidden="1">'2020-21'!$E$11</definedName>
    <definedName name="QB_ROW_120240" localSheetId="0" hidden="1">'6 and 10 Year AMO Overview'!#REF!</definedName>
    <definedName name="QB_ROW_121240" localSheetId="4" hidden="1">'2017-18'!$E$6</definedName>
    <definedName name="QB_ROW_121240" localSheetId="3" hidden="1">'2018-19'!$E$7</definedName>
    <definedName name="QB_ROW_121240" localSheetId="2" hidden="1">'2019-20'!$E$10</definedName>
    <definedName name="QB_ROW_121240" localSheetId="1" hidden="1">'2020-21'!$E$12</definedName>
    <definedName name="QB_ROW_121240" localSheetId="0" hidden="1">'6 and 10 Year AMO Overview'!$E$6</definedName>
    <definedName name="QB_ROW_122240" localSheetId="4" hidden="1">'2017-18'!$E$18</definedName>
    <definedName name="QB_ROW_122240" localSheetId="3" hidden="1">'2018-19'!$E$17</definedName>
    <definedName name="QB_ROW_122240" localSheetId="2" hidden="1">'2019-20'!$E$20</definedName>
    <definedName name="QB_ROW_122240" localSheetId="1" hidden="1">'2020-21'!$E$20</definedName>
    <definedName name="QB_ROW_122240" localSheetId="0" hidden="1">'6 and 10 Year AMO Overview'!$E$11</definedName>
    <definedName name="QB_ROW_123240" localSheetId="3" hidden="1">'2018-19'!$E$6</definedName>
    <definedName name="QB_ROW_123240" localSheetId="2" hidden="1">'2019-20'!$E$7</definedName>
    <definedName name="QB_ROW_123240" localSheetId="1" hidden="1">'2020-21'!$E$13</definedName>
    <definedName name="QB_ROW_123240" localSheetId="0" hidden="1">'6 and 10 Year AMO Overview'!$E$7</definedName>
    <definedName name="QB_ROW_124240" localSheetId="3" hidden="1">'2018-19'!$E$9</definedName>
    <definedName name="QB_ROW_124240" localSheetId="2" hidden="1">'2019-20'!$E$9</definedName>
    <definedName name="QB_ROW_124240" localSheetId="1" hidden="1">'2020-21'!$E$14</definedName>
    <definedName name="QB_ROW_124240" localSheetId="0" hidden="1">'6 and 10 Year AMO Overview'!#REF!</definedName>
    <definedName name="QB_ROW_125240" localSheetId="3" hidden="1">'2018-19'!$E$16</definedName>
    <definedName name="QB_ROW_125240" localSheetId="2" hidden="1">'2019-20'!$E$19</definedName>
    <definedName name="QB_ROW_125240" localSheetId="1" hidden="1">'2020-21'!$E$21</definedName>
    <definedName name="QB_ROW_125240" localSheetId="0" hidden="1">'6 and 10 Year AMO Overview'!$E$10</definedName>
    <definedName name="QB_ROW_129240" localSheetId="2" hidden="1">'2019-20'!$E$6</definedName>
    <definedName name="QB_ROW_129240" localSheetId="1" hidden="1">'2020-21'!$E$7</definedName>
    <definedName name="QB_ROW_130240" localSheetId="2" hidden="1">'2019-20'!$E$8</definedName>
    <definedName name="QB_ROW_130240" localSheetId="1" hidden="1">'2020-21'!$E$9</definedName>
    <definedName name="QB_ROW_131240" localSheetId="2" hidden="1">'2019-20'!$E$18</definedName>
    <definedName name="QB_ROW_131240" localSheetId="1" hidden="1">'2020-21'!$E$18</definedName>
    <definedName name="QB_ROW_132240" localSheetId="1" hidden="1">'2020-21'!$E$6</definedName>
    <definedName name="QB_ROW_133240" localSheetId="1" hidden="1">'2020-21'!$E$8</definedName>
    <definedName name="QB_ROW_135240" localSheetId="1" hidden="1">'2020-21'!$E$17</definedName>
    <definedName name="QB_ROW_18301" localSheetId="7" hidden="1">'2014-15'!$A$32</definedName>
    <definedName name="QB_ROW_18301" localSheetId="6" hidden="1">'2015-16'!$A$27</definedName>
    <definedName name="QB_ROW_18301" localSheetId="5" hidden="1">'2016-17'!$A$28</definedName>
    <definedName name="QB_ROW_18301" localSheetId="4" hidden="1">'2017-18'!$A$30</definedName>
    <definedName name="QB_ROW_18301" localSheetId="3" hidden="1">'2018-19'!$A$26</definedName>
    <definedName name="QB_ROW_18301" localSheetId="2" hidden="1">'2019-20'!$A$29</definedName>
    <definedName name="QB_ROW_18301" localSheetId="1" hidden="1">'2020-21'!$A$26</definedName>
    <definedName name="QB_ROW_18301" localSheetId="0" hidden="1">'6 and 10 Year AMO Overview'!#REF!</definedName>
    <definedName name="QB_ROW_20012" localSheetId="7" hidden="1">'2014-15'!$B$3</definedName>
    <definedName name="QB_ROW_20012" localSheetId="6" hidden="1">'2015-16'!$B$3</definedName>
    <definedName name="QB_ROW_20012" localSheetId="5" hidden="1">'2016-17'!$B$3</definedName>
    <definedName name="QB_ROW_20012" localSheetId="4" hidden="1">'2017-18'!$B$3</definedName>
    <definedName name="QB_ROW_20012" localSheetId="3" hidden="1">'2018-19'!$B$3</definedName>
    <definedName name="QB_ROW_20012" localSheetId="2" hidden="1">'2019-20'!$B$3</definedName>
    <definedName name="QB_ROW_20012" localSheetId="1" hidden="1">'2020-21'!$B$3</definedName>
    <definedName name="QB_ROW_20012" localSheetId="0" hidden="1">'6 and 10 Year AMO Overview'!$B$3</definedName>
    <definedName name="QB_ROW_2020" localSheetId="7" hidden="1">'2014-15'!$C$4</definedName>
    <definedName name="QB_ROW_2020" localSheetId="6" hidden="1">'2015-16'!$C$4</definedName>
    <definedName name="QB_ROW_2020" localSheetId="5" hidden="1">'2016-17'!$C$4</definedName>
    <definedName name="QB_ROW_2020" localSheetId="4" hidden="1">'2017-18'!$C$4</definedName>
    <definedName name="QB_ROW_2020" localSheetId="3" hidden="1">'2018-19'!$C$4</definedName>
    <definedName name="QB_ROW_2020" localSheetId="2" hidden="1">'2019-20'!$C$4</definedName>
    <definedName name="QB_ROW_2020" localSheetId="1" hidden="1">'2020-21'!$C$4</definedName>
    <definedName name="QB_ROW_2020" localSheetId="0" hidden="1">'6 and 10 Year AMO Overview'!$C$4</definedName>
    <definedName name="QB_ROW_20312" localSheetId="7" hidden="1">'2014-15'!$B$30</definedName>
    <definedName name="QB_ROW_20312" localSheetId="6" hidden="1">'2015-16'!$B$25</definedName>
    <definedName name="QB_ROW_20312" localSheetId="5" hidden="1">'2016-17'!$B$26</definedName>
    <definedName name="QB_ROW_20312" localSheetId="4" hidden="1">'2017-18'!$B$28</definedName>
    <definedName name="QB_ROW_20312" localSheetId="3" hidden="1">'2018-19'!$B$24</definedName>
    <definedName name="QB_ROW_20312" localSheetId="2" hidden="1">'2019-20'!$B$27</definedName>
    <definedName name="QB_ROW_20312" localSheetId="1" hidden="1">'2020-21'!$B$24</definedName>
    <definedName name="QB_ROW_20312" localSheetId="0" hidden="1">'6 and 10 Year AMO Overview'!#REF!</definedName>
    <definedName name="QB_ROW_21312" localSheetId="7" hidden="1">'2014-15'!$B$31</definedName>
    <definedName name="QB_ROW_21312" localSheetId="6" hidden="1">'2015-16'!$B$26</definedName>
    <definedName name="QB_ROW_21312" localSheetId="5" hidden="1">'2016-17'!$B$27</definedName>
    <definedName name="QB_ROW_21312" localSheetId="4" hidden="1">'2017-18'!$B$29</definedName>
    <definedName name="QB_ROW_21312" localSheetId="3" hidden="1">'2018-19'!$B$25</definedName>
    <definedName name="QB_ROW_21312" localSheetId="2" hidden="1">'2019-20'!$B$28</definedName>
    <definedName name="QB_ROW_21312" localSheetId="1" hidden="1">'2020-21'!$B$25</definedName>
    <definedName name="QB_ROW_21312" localSheetId="0" hidden="1">'6 and 10 Year AMO Overview'!#REF!</definedName>
    <definedName name="QB_ROW_2230" localSheetId="5" hidden="1">'2016-17'!$D$22</definedName>
    <definedName name="QB_ROW_2230" localSheetId="4" hidden="1">'2017-18'!$D$24</definedName>
    <definedName name="QB_ROW_2230" localSheetId="3" hidden="1">'2018-19'!$D$21</definedName>
    <definedName name="QB_ROW_2230" localSheetId="2" hidden="1">'2019-20'!$D$24</definedName>
    <definedName name="QB_ROW_2230" localSheetId="0" hidden="1">'6 and 10 Year AMO Overview'!#REF!</definedName>
    <definedName name="QB_ROW_2320" localSheetId="7" hidden="1">'2014-15'!$C$26</definedName>
    <definedName name="QB_ROW_2320" localSheetId="6" hidden="1">'2015-16'!$C$23</definedName>
    <definedName name="QB_ROW_2320" localSheetId="5" hidden="1">'2016-17'!$C$23</definedName>
    <definedName name="QB_ROW_2320" localSheetId="4" hidden="1">'2017-18'!$C$25</definedName>
    <definedName name="QB_ROW_2320" localSheetId="3" hidden="1">'2018-19'!$C$22</definedName>
    <definedName name="QB_ROW_2320" localSheetId="2" hidden="1">'2019-20'!$C$25</definedName>
    <definedName name="QB_ROW_2320" localSheetId="1" hidden="1">'2020-21'!$C$23</definedName>
    <definedName name="QB_ROW_2320" localSheetId="0" hidden="1">'6 and 10 Year AMO Overview'!$C$18</definedName>
    <definedName name="QB_ROW_3030" localSheetId="7" hidden="1">'2014-15'!$D$5</definedName>
    <definedName name="QB_ROW_3030" localSheetId="6" hidden="1">'2015-16'!$D$5</definedName>
    <definedName name="QB_ROW_3030" localSheetId="5" hidden="1">'2016-17'!$D$5</definedName>
    <definedName name="QB_ROW_3030" localSheetId="4" hidden="1">'2017-18'!$D$5</definedName>
    <definedName name="QB_ROW_3030" localSheetId="3" hidden="1">'2018-19'!$D$5</definedName>
    <definedName name="QB_ROW_3030" localSheetId="2" hidden="1">'2019-20'!$D$5</definedName>
    <definedName name="QB_ROW_3030" localSheetId="1" hidden="1">'2020-21'!$D$5</definedName>
    <definedName name="QB_ROW_3030" localSheetId="0" hidden="1">'6 and 10 Year AMO Overview'!$D$5</definedName>
    <definedName name="QB_ROW_3330" localSheetId="7" hidden="1">'2014-15'!$D$17</definedName>
    <definedName name="QB_ROW_3330" localSheetId="6" hidden="1">'2015-16'!$D$15</definedName>
    <definedName name="QB_ROW_3330" localSheetId="5" hidden="1">'2016-17'!$D$15</definedName>
    <definedName name="QB_ROW_3330" localSheetId="4" hidden="1">'2017-18'!$D$16</definedName>
    <definedName name="QB_ROW_3330" localSheetId="3" hidden="1">'2018-19'!$D$14</definedName>
    <definedName name="QB_ROW_3330" localSheetId="2" hidden="1">'2019-20'!$D$16</definedName>
    <definedName name="QB_ROW_3330" localSheetId="1" hidden="1">'2020-21'!$D$15</definedName>
    <definedName name="QB_ROW_3330" localSheetId="0" hidden="1">'6 and 10 Year AMO Overview'!$D$8</definedName>
    <definedName name="QB_ROW_46030" localSheetId="7" hidden="1">'2014-15'!$D$18</definedName>
    <definedName name="QB_ROW_46030" localSheetId="6" hidden="1">'2015-16'!$D$16</definedName>
    <definedName name="QB_ROW_46030" localSheetId="5" hidden="1">'2016-17'!$D$16</definedName>
    <definedName name="QB_ROW_46030" localSheetId="4" hidden="1">'2017-18'!$D$17</definedName>
    <definedName name="QB_ROW_46030" localSheetId="3" hidden="1">'2018-19'!$D$15</definedName>
    <definedName name="QB_ROW_46030" localSheetId="2" hidden="1">'2019-20'!$D$17</definedName>
    <definedName name="QB_ROW_46030" localSheetId="1" hidden="1">'2020-21'!$D$16</definedName>
    <definedName name="QB_ROW_46030" localSheetId="0" hidden="1">'6 and 10 Year AMO Overview'!$D$9</definedName>
    <definedName name="QB_ROW_46330" localSheetId="7" hidden="1">'2014-15'!$D$25</definedName>
    <definedName name="QB_ROW_46330" localSheetId="6" hidden="1">'2015-16'!$D$22</definedName>
    <definedName name="QB_ROW_46330" localSheetId="5" hidden="1">'2016-17'!$D$21</definedName>
    <definedName name="QB_ROW_46330" localSheetId="4" hidden="1">'2017-18'!$D$23</definedName>
    <definedName name="QB_ROW_46330" localSheetId="3" hidden="1">'2018-19'!$D$20</definedName>
    <definedName name="QB_ROW_46330" localSheetId="2" hidden="1">'2019-20'!$D$23</definedName>
    <definedName name="QB_ROW_46330" localSheetId="1" hidden="1">'2020-21'!$D$22</definedName>
    <definedName name="QB_ROW_46330" localSheetId="0" hidden="1">'6 and 10 Year AMO Overview'!$D$12</definedName>
    <definedName name="QB_ROW_6220" localSheetId="7" hidden="1">'2014-15'!$C$27</definedName>
    <definedName name="QB_ROW_6220" localSheetId="6" hidden="1">'2015-16'!$C$24</definedName>
    <definedName name="QB_ROW_6220" localSheetId="5" hidden="1">'2016-17'!$C$24</definedName>
    <definedName name="QB_ROW_6220" localSheetId="4" hidden="1">'2017-18'!$C$26</definedName>
    <definedName name="QB_ROW_6220" localSheetId="3" hidden="1">'2018-19'!$C$23</definedName>
    <definedName name="QB_ROW_6220" localSheetId="2" hidden="1">'2019-20'!$C$26</definedName>
    <definedName name="QB_ROW_6220" localSheetId="0" hidden="1">'6 and 10 Year AMO Overview'!#REF!</definedName>
    <definedName name="QB_ROW_67220" localSheetId="5" hidden="1">'2016-17'!$C$25</definedName>
    <definedName name="QB_ROW_67220" localSheetId="4" hidden="1">'2017-18'!$C$27</definedName>
    <definedName name="QB_ROW_72220" localSheetId="7" hidden="1">'2014-15'!$C$28</definedName>
    <definedName name="QB_ROW_73220" localSheetId="7" hidden="1">'2014-15'!$C$29</definedName>
    <definedName name="QB_ROW_78240" localSheetId="7" hidden="1">'2014-15'!$E$13</definedName>
    <definedName name="QB_ROW_79240" localSheetId="7" hidden="1">'2014-15'!$E$24</definedName>
    <definedName name="QB_ROW_94240" localSheetId="7" hidden="1">'2014-15'!$E$14</definedName>
    <definedName name="QB_ROW_95240" localSheetId="7" hidden="1">'2014-15'!$E$15</definedName>
    <definedName name="QB_ROW_96240" localSheetId="7" hidden="1">'2014-15'!$E$23</definedName>
    <definedName name="QB_ROW_98240" localSheetId="7" hidden="1">'2014-15'!$E$12</definedName>
    <definedName name="QB_ROW_98240" localSheetId="6" hidden="1">'2015-16'!$E$12</definedName>
    <definedName name="QB_ROW_98240" localSheetId="5" hidden="1">'2016-17'!$E$14</definedName>
    <definedName name="QB_ROW_99240" localSheetId="7" hidden="1">'2014-15'!$E$22</definedName>
    <definedName name="QB_ROW_99240" localSheetId="6" hidden="1">'2015-16'!$E$21</definedName>
    <definedName name="QBCANSUPPORTUPDATE" localSheetId="7">TRUE</definedName>
    <definedName name="QBCANSUPPORTUPDATE" localSheetId="6">TRUE</definedName>
    <definedName name="QBCANSUPPORTUPDATE" localSheetId="5">TRUE</definedName>
    <definedName name="QBCANSUPPORTUPDATE" localSheetId="4">TRUE</definedName>
    <definedName name="QBCANSUPPORTUPDATE" localSheetId="3">TRUE</definedName>
    <definedName name="QBCANSUPPORTUPDATE" localSheetId="2">TRUE</definedName>
    <definedName name="QBCANSUPPORTUPDATE" localSheetId="1">TRUE</definedName>
    <definedName name="QBCANSUPPORTUPDATE" localSheetId="0">TRUE</definedName>
    <definedName name="QBCOMPANYFILENAME" localSheetId="7">"Q:\AP Quickbooks\Amo.qbw"</definedName>
    <definedName name="QBCOMPANYFILENAME" localSheetId="6">"Q:\AP Quickbooks\Amo.qbw"</definedName>
    <definedName name="QBCOMPANYFILENAME" localSheetId="5">"Q:\AP Quickbooks\Amo.qbw"</definedName>
    <definedName name="QBCOMPANYFILENAME" localSheetId="4">"Q:\AP Quickbooks\Amo.qbw"</definedName>
    <definedName name="QBCOMPANYFILENAME" localSheetId="3">"Q:\AP Quickbooks\Amo.qbw"</definedName>
    <definedName name="QBCOMPANYFILENAME" localSheetId="2">"Q:\AP Quickbooks\Amo.qbw"</definedName>
    <definedName name="QBCOMPANYFILENAME" localSheetId="1">"\\AGM0024PW5APP\QuickBooks2019\AP Quickbooks\Amo.qbw"</definedName>
    <definedName name="QBCOMPANYFILENAME" localSheetId="0">"Q:\AP Quickbooks\Amo.qbw"</definedName>
    <definedName name="QBENDDATE" localSheetId="7">20150630</definedName>
    <definedName name="QBENDDATE" localSheetId="6">20160630</definedName>
    <definedName name="QBENDDATE" localSheetId="5">20170630</definedName>
    <definedName name="QBENDDATE" localSheetId="4">20180630</definedName>
    <definedName name="QBENDDATE" localSheetId="3">20190630</definedName>
    <definedName name="QBENDDATE" localSheetId="2">20200630</definedName>
    <definedName name="QBENDDATE" localSheetId="1">20210630</definedName>
    <definedName name="QBENDDATE" localSheetId="0">20190331</definedName>
    <definedName name="QBHEADERSONSCREEN" localSheetId="7">FALSE</definedName>
    <definedName name="QBHEADERSONSCREEN" localSheetId="6">FALSE</definedName>
    <definedName name="QBHEADERSONSCREEN" localSheetId="5">FALSE</definedName>
    <definedName name="QBHEADERSONSCREEN" localSheetId="4">FALSE</definedName>
    <definedName name="QBHEADERSONSCREEN" localSheetId="3">FALSE</definedName>
    <definedName name="QBHEADERSONSCREEN" localSheetId="2">FALSE</definedName>
    <definedName name="QBHEADERSONSCREEN" localSheetId="1">FALSE</definedName>
    <definedName name="QBHEADERSONSCREEN" localSheetId="0">FALSE</definedName>
    <definedName name="QBMETADATASIZE" localSheetId="7">5914</definedName>
    <definedName name="QBMETADATASIZE" localSheetId="6">5914</definedName>
    <definedName name="QBMETADATASIZE" localSheetId="5">5914</definedName>
    <definedName name="QBMETADATASIZE" localSheetId="4">5914</definedName>
    <definedName name="QBMETADATASIZE" localSheetId="3">5914</definedName>
    <definedName name="QBMETADATASIZE" localSheetId="2">5924</definedName>
    <definedName name="QBMETADATASIZE" localSheetId="1">5924</definedName>
    <definedName name="QBMETADATASIZE" localSheetId="0">5914</definedName>
    <definedName name="QBPRESERVECOLOR" localSheetId="7">TRUE</definedName>
    <definedName name="QBPRESERVECOLOR" localSheetId="6">TRUE</definedName>
    <definedName name="QBPRESERVECOLOR" localSheetId="5">TRUE</definedName>
    <definedName name="QBPRESERVECOLOR" localSheetId="4">TRUE</definedName>
    <definedName name="QBPRESERVECOLOR" localSheetId="3">TRUE</definedName>
    <definedName name="QBPRESERVECOLOR" localSheetId="2">TRUE</definedName>
    <definedName name="QBPRESERVECOLOR" localSheetId="1">TRUE</definedName>
    <definedName name="QBPRESERVECOLOR" localSheetId="0">TRUE</definedName>
    <definedName name="QBPRESERVEFONT" localSheetId="7">TRUE</definedName>
    <definedName name="QBPRESERVEFONT" localSheetId="6">TRUE</definedName>
    <definedName name="QBPRESERVEFONT" localSheetId="5">TRUE</definedName>
    <definedName name="QBPRESERVEFONT" localSheetId="4">TRUE</definedName>
    <definedName name="QBPRESERVEFONT" localSheetId="3">TRUE</definedName>
    <definedName name="QBPRESERVEFONT" localSheetId="2">TRUE</definedName>
    <definedName name="QBPRESERVEFONT" localSheetId="1">TRUE</definedName>
    <definedName name="QBPRESERVEFONT" localSheetId="0">TRUE</definedName>
    <definedName name="QBPRESERVEROWHEIGHT" localSheetId="7">TRUE</definedName>
    <definedName name="QBPRESERVEROWHEIGHT" localSheetId="6">TRUE</definedName>
    <definedName name="QBPRESERVEROWHEIGHT" localSheetId="5">TRUE</definedName>
    <definedName name="QBPRESERVEROWHEIGHT" localSheetId="4">TRUE</definedName>
    <definedName name="QBPRESERVEROWHEIGHT" localSheetId="3">TRUE</definedName>
    <definedName name="QBPRESERVEROWHEIGHT" localSheetId="2">TRUE</definedName>
    <definedName name="QBPRESERVEROWHEIGHT" localSheetId="1">TRUE</definedName>
    <definedName name="QBPRESERVEROWHEIGHT" localSheetId="0">TRUE</definedName>
    <definedName name="QBPRESERVESPACE" localSheetId="7">TRUE</definedName>
    <definedName name="QBPRESERVESPACE" localSheetId="6">TRUE</definedName>
    <definedName name="QBPRESERVESPACE" localSheetId="5">TRUE</definedName>
    <definedName name="QBPRESERVESPACE" localSheetId="4">TRUE</definedName>
    <definedName name="QBPRESERVESPACE" localSheetId="3">TRUE</definedName>
    <definedName name="QBPRESERVESPACE" localSheetId="2">TRUE</definedName>
    <definedName name="QBPRESERVESPACE" localSheetId="1">TRUE</definedName>
    <definedName name="QBPRESERVESPACE" localSheetId="0">TRUE</definedName>
    <definedName name="QBREPORTCOLAXIS" localSheetId="7">0</definedName>
    <definedName name="QBREPORTCOLAXIS" localSheetId="6">0</definedName>
    <definedName name="QBREPORTCOLAXIS" localSheetId="5">0</definedName>
    <definedName name="QBREPORTCOLAXIS" localSheetId="4">0</definedName>
    <definedName name="QBREPORTCOLAXIS" localSheetId="3">0</definedName>
    <definedName name="QBREPORTCOLAXIS" localSheetId="2">0</definedName>
    <definedName name="QBREPORTCOLAXIS" localSheetId="1">0</definedName>
    <definedName name="QBREPORTCOLAXIS" localSheetId="0">0</definedName>
    <definedName name="QBREPORTCOMPANYID" localSheetId="7">"3f99d40e73584873b35d174a46524f7e"</definedName>
    <definedName name="QBREPORTCOMPANYID" localSheetId="6">"3f99d40e73584873b35d174a46524f7e"</definedName>
    <definedName name="QBREPORTCOMPANYID" localSheetId="5">"3f99d40e73584873b35d174a46524f7e"</definedName>
    <definedName name="QBREPORTCOMPANYID" localSheetId="4">"3f99d40e73584873b35d174a46524f7e"</definedName>
    <definedName name="QBREPORTCOMPANYID" localSheetId="3">"3f99d40e73584873b35d174a46524f7e"</definedName>
    <definedName name="QBREPORTCOMPANYID" localSheetId="2">"3f99d40e73584873b35d174a46524f7e"</definedName>
    <definedName name="QBREPORTCOMPANYID" localSheetId="1">"3f99d40e73584873b35d174a46524f7e"</definedName>
    <definedName name="QBREPORTCOMPANYID" localSheetId="0">"3f99d40e73584873b35d174a46524f7e"</definedName>
    <definedName name="QBREPORTCOMPARECOL_ANNUALBUDGET" localSheetId="7">FALSE</definedName>
    <definedName name="QBREPORTCOMPARECOL_ANNUALBUDGET" localSheetId="6">FALSE</definedName>
    <definedName name="QBREPORTCOMPARECOL_ANNUALBUDGET" localSheetId="5">FALSE</definedName>
    <definedName name="QBREPORTCOMPARECOL_ANNUALBUDGET" localSheetId="4">FALSE</definedName>
    <definedName name="QBREPORTCOMPARECOL_ANNUALBUDGET" localSheetId="3">FALSE</definedName>
    <definedName name="QBREPORTCOMPARECOL_ANNUALBUDGET" localSheetId="2">FALSE</definedName>
    <definedName name="QBREPORTCOMPARECOL_ANNUALBUDGET" localSheetId="1">FALSE</definedName>
    <definedName name="QBREPORTCOMPARECOL_ANNUALBUDGET" localSheetId="0">FALSE</definedName>
    <definedName name="QBREPORTCOMPARECOL_AVGCOGS" localSheetId="7">FALSE</definedName>
    <definedName name="QBREPORTCOMPARECOL_AVGCOGS" localSheetId="6">FALSE</definedName>
    <definedName name="QBREPORTCOMPARECOL_AVGCOGS" localSheetId="5">FALSE</definedName>
    <definedName name="QBREPORTCOMPARECOL_AVGCOGS" localSheetId="4">FALSE</definedName>
    <definedName name="QBREPORTCOMPARECOL_AVGCOGS" localSheetId="3">FALSE</definedName>
    <definedName name="QBREPORTCOMPARECOL_AVGCOGS" localSheetId="2">FALSE</definedName>
    <definedName name="QBREPORTCOMPARECOL_AVGCOGS" localSheetId="1">FALSE</definedName>
    <definedName name="QBREPORTCOMPARECOL_AVGCOGS" localSheetId="0">FALSE</definedName>
    <definedName name="QBREPORTCOMPARECOL_AVGPRICE" localSheetId="7">FALSE</definedName>
    <definedName name="QBREPORTCOMPARECOL_AVGPRICE" localSheetId="6">FALSE</definedName>
    <definedName name="QBREPORTCOMPARECOL_AVGPRICE" localSheetId="5">FALSE</definedName>
    <definedName name="QBREPORTCOMPARECOL_AVGPRICE" localSheetId="4">FALSE</definedName>
    <definedName name="QBREPORTCOMPARECOL_AVGPRICE" localSheetId="3">FALSE</definedName>
    <definedName name="QBREPORTCOMPARECOL_AVGPRICE" localSheetId="2">FALSE</definedName>
    <definedName name="QBREPORTCOMPARECOL_AVGPRICE" localSheetId="1">FALSE</definedName>
    <definedName name="QBREPORTCOMPARECOL_AVGPRICE" localSheetId="0">FALSE</definedName>
    <definedName name="QBREPORTCOMPARECOL_BUDDIFF" localSheetId="7">FALSE</definedName>
    <definedName name="QBREPORTCOMPARECOL_BUDDIFF" localSheetId="6">FALSE</definedName>
    <definedName name="QBREPORTCOMPARECOL_BUDDIFF" localSheetId="5">FALSE</definedName>
    <definedName name="QBREPORTCOMPARECOL_BUDDIFF" localSheetId="4">FALSE</definedName>
    <definedName name="QBREPORTCOMPARECOL_BUDDIFF" localSheetId="3">FALSE</definedName>
    <definedName name="QBREPORTCOMPARECOL_BUDDIFF" localSheetId="2">FALSE</definedName>
    <definedName name="QBREPORTCOMPARECOL_BUDDIFF" localSheetId="1">FALSE</definedName>
    <definedName name="QBREPORTCOMPARECOL_BUDDIFF" localSheetId="0">FALSE</definedName>
    <definedName name="QBREPORTCOMPARECOL_BUDGET" localSheetId="7">FALSE</definedName>
    <definedName name="QBREPORTCOMPARECOL_BUDGET" localSheetId="6">FALSE</definedName>
    <definedName name="QBREPORTCOMPARECOL_BUDGET" localSheetId="5">FALSE</definedName>
    <definedName name="QBREPORTCOMPARECOL_BUDGET" localSheetId="4">FALSE</definedName>
    <definedName name="QBREPORTCOMPARECOL_BUDGET" localSheetId="3">FALSE</definedName>
    <definedName name="QBREPORTCOMPARECOL_BUDGET" localSheetId="2">FALSE</definedName>
    <definedName name="QBREPORTCOMPARECOL_BUDGET" localSheetId="1">FALSE</definedName>
    <definedName name="QBREPORTCOMPARECOL_BUDGET" localSheetId="0">FALSE</definedName>
    <definedName name="QBREPORTCOMPARECOL_BUDPCT" localSheetId="7">FALSE</definedName>
    <definedName name="QBREPORTCOMPARECOL_BUDPCT" localSheetId="6">FALSE</definedName>
    <definedName name="QBREPORTCOMPARECOL_BUDPCT" localSheetId="5">FALSE</definedName>
    <definedName name="QBREPORTCOMPARECOL_BUDPCT" localSheetId="4">FALSE</definedName>
    <definedName name="QBREPORTCOMPARECOL_BUDPCT" localSheetId="3">FALSE</definedName>
    <definedName name="QBREPORTCOMPARECOL_BUDPCT" localSheetId="2">FALSE</definedName>
    <definedName name="QBREPORTCOMPARECOL_BUDPCT" localSheetId="1">FALSE</definedName>
    <definedName name="QBREPORTCOMPARECOL_BUDPCT" localSheetId="0">FALSE</definedName>
    <definedName name="QBREPORTCOMPARECOL_COGS" localSheetId="7">FALSE</definedName>
    <definedName name="QBREPORTCOMPARECOL_COGS" localSheetId="6">FALSE</definedName>
    <definedName name="QBREPORTCOMPARECOL_COGS" localSheetId="5">FALSE</definedName>
    <definedName name="QBREPORTCOMPARECOL_COGS" localSheetId="4">FALSE</definedName>
    <definedName name="QBREPORTCOMPARECOL_COGS" localSheetId="3">FALSE</definedName>
    <definedName name="QBREPORTCOMPARECOL_COGS" localSheetId="2">FALSE</definedName>
    <definedName name="QBREPORTCOMPARECOL_COGS" localSheetId="1">FALSE</definedName>
    <definedName name="QBREPORTCOMPARECOL_COGS" localSheetId="0">FALSE</definedName>
    <definedName name="QBREPORTCOMPARECOL_EXCLUDEAMOUNT" localSheetId="7">FALSE</definedName>
    <definedName name="QBREPORTCOMPARECOL_EXCLUDEAMOUNT" localSheetId="6">FALSE</definedName>
    <definedName name="QBREPORTCOMPARECOL_EXCLUDEAMOUNT" localSheetId="5">FALSE</definedName>
    <definedName name="QBREPORTCOMPARECOL_EXCLUDEAMOUNT" localSheetId="4">FALSE</definedName>
    <definedName name="QBREPORTCOMPARECOL_EXCLUDEAMOUNT" localSheetId="3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7">FALSE</definedName>
    <definedName name="QBREPORTCOMPARECOL_EXCLUDECURPERIOD" localSheetId="6">FALSE</definedName>
    <definedName name="QBREPORTCOMPARECOL_EXCLUDECURPERIOD" localSheetId="5">FALSE</definedName>
    <definedName name="QBREPORTCOMPARECOL_EXCLUDECURPERIOD" localSheetId="4">FALSE</definedName>
    <definedName name="QBREPORTCOMPARECOL_EXCLUDECURPERIOD" localSheetId="3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7">FALSE</definedName>
    <definedName name="QBREPORTCOMPARECOL_FORECAST" localSheetId="6">FALSE</definedName>
    <definedName name="QBREPORTCOMPARECOL_FORECAST" localSheetId="5">FALSE</definedName>
    <definedName name="QBREPORTCOMPARECOL_FORECAST" localSheetId="4">FALSE</definedName>
    <definedName name="QBREPORTCOMPARECOL_FORECAST" localSheetId="3">FALSE</definedName>
    <definedName name="QBREPORTCOMPARECOL_FORECAST" localSheetId="2">FALSE</definedName>
    <definedName name="QBREPORTCOMPARECOL_FORECAST" localSheetId="1">FALSE</definedName>
    <definedName name="QBREPORTCOMPARECOL_FORECAST" localSheetId="0">FALSE</definedName>
    <definedName name="QBREPORTCOMPARECOL_GROSSMARGIN" localSheetId="7">FALSE</definedName>
    <definedName name="QBREPORTCOMPARECOL_GROSSMARGIN" localSheetId="6">FALSE</definedName>
    <definedName name="QBREPORTCOMPARECOL_GROSSMARGIN" localSheetId="5">FALSE</definedName>
    <definedName name="QBREPORTCOMPARECOL_GROSSMARGIN" localSheetId="4">FALSE</definedName>
    <definedName name="QBREPORTCOMPARECOL_GROSSMARGIN" localSheetId="3">FALSE</definedName>
    <definedName name="QBREPORTCOMPARECOL_GROSSMARGIN" localSheetId="2">FALSE</definedName>
    <definedName name="QBREPORTCOMPARECOL_GROSSMARGIN" localSheetId="1">FALSE</definedName>
    <definedName name="QBREPORTCOMPARECOL_GROSSMARGIN" localSheetId="0">FALSE</definedName>
    <definedName name="QBREPORTCOMPARECOL_GROSSMARGINPCT" localSheetId="7">FALSE</definedName>
    <definedName name="QBREPORTCOMPARECOL_GROSSMARGINPCT" localSheetId="6">FALSE</definedName>
    <definedName name="QBREPORTCOMPARECOL_GROSSMARGINPCT" localSheetId="5">FALSE</definedName>
    <definedName name="QBREPORTCOMPARECOL_GROSSMARGINPCT" localSheetId="4">FALSE</definedName>
    <definedName name="QBREPORTCOMPARECOL_GROSSMARGINPCT" localSheetId="3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0">FALSE</definedName>
    <definedName name="QBREPORTCOMPARECOL_HOURS" localSheetId="7">FALSE</definedName>
    <definedName name="QBREPORTCOMPARECOL_HOURS" localSheetId="6">FALSE</definedName>
    <definedName name="QBREPORTCOMPARECOL_HOURS" localSheetId="5">FALSE</definedName>
    <definedName name="QBREPORTCOMPARECOL_HOURS" localSheetId="4">FALSE</definedName>
    <definedName name="QBREPORTCOMPARECOL_HOURS" localSheetId="3">FALSE</definedName>
    <definedName name="QBREPORTCOMPARECOL_HOURS" localSheetId="2">FALSE</definedName>
    <definedName name="QBREPORTCOMPARECOL_HOURS" localSheetId="1">FALSE</definedName>
    <definedName name="QBREPORTCOMPARECOL_HOURS" localSheetId="0">FALSE</definedName>
    <definedName name="QBREPORTCOMPARECOL_PCTCOL" localSheetId="7">FALSE</definedName>
    <definedName name="QBREPORTCOMPARECOL_PCTCOL" localSheetId="6">FALSE</definedName>
    <definedName name="QBREPORTCOMPARECOL_PCTCOL" localSheetId="5">FALSE</definedName>
    <definedName name="QBREPORTCOMPARECOL_PCTCOL" localSheetId="4">FALSE</definedName>
    <definedName name="QBREPORTCOMPARECOL_PCTCOL" localSheetId="3">FALSE</definedName>
    <definedName name="QBREPORTCOMPARECOL_PCTCOL" localSheetId="2">FALSE</definedName>
    <definedName name="QBREPORTCOMPARECOL_PCTCOL" localSheetId="1">FALSE</definedName>
    <definedName name="QBREPORTCOMPARECOL_PCTCOL" localSheetId="0">FALSE</definedName>
    <definedName name="QBREPORTCOMPARECOL_PCTEXPENSE" localSheetId="7">FALSE</definedName>
    <definedName name="QBREPORTCOMPARECOL_PCTEXPENSE" localSheetId="6">FALSE</definedName>
    <definedName name="QBREPORTCOMPARECOL_PCTEXPENSE" localSheetId="5">FALSE</definedName>
    <definedName name="QBREPORTCOMPARECOL_PCTEXPENSE" localSheetId="4">FALSE</definedName>
    <definedName name="QBREPORTCOMPARECOL_PCTEXPENSE" localSheetId="3">FALSE</definedName>
    <definedName name="QBREPORTCOMPARECOL_PCTEXPENSE" localSheetId="2">FALSE</definedName>
    <definedName name="QBREPORTCOMPARECOL_PCTEXPENSE" localSheetId="1">FALSE</definedName>
    <definedName name="QBREPORTCOMPARECOL_PCTEXPENSE" localSheetId="0">FALSE</definedName>
    <definedName name="QBREPORTCOMPARECOL_PCTINCOME" localSheetId="7">FALSE</definedName>
    <definedName name="QBREPORTCOMPARECOL_PCTINCOME" localSheetId="6">FALSE</definedName>
    <definedName name="QBREPORTCOMPARECOL_PCTINCOME" localSheetId="5">FALSE</definedName>
    <definedName name="QBREPORTCOMPARECOL_PCTINCOME" localSheetId="4">FALSE</definedName>
    <definedName name="QBREPORTCOMPARECOL_PCTINCOME" localSheetId="3">FALSE</definedName>
    <definedName name="QBREPORTCOMPARECOL_PCTINCOME" localSheetId="2">FALSE</definedName>
    <definedName name="QBREPORTCOMPARECOL_PCTINCOME" localSheetId="1">FALSE</definedName>
    <definedName name="QBREPORTCOMPARECOL_PCTINCOME" localSheetId="0">FALSE</definedName>
    <definedName name="QBREPORTCOMPARECOL_PCTOFSALES" localSheetId="7">FALSE</definedName>
    <definedName name="QBREPORTCOMPARECOL_PCTOFSALES" localSheetId="6">FALSE</definedName>
    <definedName name="QBREPORTCOMPARECOL_PCTOFSALES" localSheetId="5">FALSE</definedName>
    <definedName name="QBREPORTCOMPARECOL_PCTOFSALES" localSheetId="4">FALSE</definedName>
    <definedName name="QBREPORTCOMPARECOL_PCTOFSALES" localSheetId="3">FALSE</definedName>
    <definedName name="QBREPORTCOMPARECOL_PCTOFSALES" localSheetId="2">FALSE</definedName>
    <definedName name="QBREPORTCOMPARECOL_PCTOFSALES" localSheetId="1">FALSE</definedName>
    <definedName name="QBREPORTCOMPARECOL_PCTOFSALES" localSheetId="0">FALSE</definedName>
    <definedName name="QBREPORTCOMPARECOL_PCTROW" localSheetId="7">FALSE</definedName>
    <definedName name="QBREPORTCOMPARECOL_PCTROW" localSheetId="6">FALSE</definedName>
    <definedName name="QBREPORTCOMPARECOL_PCTROW" localSheetId="5">FALSE</definedName>
    <definedName name="QBREPORTCOMPARECOL_PCTROW" localSheetId="4">FALSE</definedName>
    <definedName name="QBREPORTCOMPARECOL_PCTROW" localSheetId="3">FALSE</definedName>
    <definedName name="QBREPORTCOMPARECOL_PCTROW" localSheetId="2">FALSE</definedName>
    <definedName name="QBREPORTCOMPARECOL_PCTROW" localSheetId="1">FALSE</definedName>
    <definedName name="QBREPORTCOMPARECOL_PCTROW" localSheetId="0">FALSE</definedName>
    <definedName name="QBREPORTCOMPARECOL_PPDIFF" localSheetId="7">FALSE</definedName>
    <definedName name="QBREPORTCOMPARECOL_PPDIFF" localSheetId="6">FALSE</definedName>
    <definedName name="QBREPORTCOMPARECOL_PPDIFF" localSheetId="5">FALSE</definedName>
    <definedName name="QBREPORTCOMPARECOL_PPDIFF" localSheetId="4">FALSE</definedName>
    <definedName name="QBREPORTCOMPARECOL_PPDIFF" localSheetId="3">FALSE</definedName>
    <definedName name="QBREPORTCOMPARECOL_PPDIFF" localSheetId="2">FALSE</definedName>
    <definedName name="QBREPORTCOMPARECOL_PPDIFF" localSheetId="1">FALSE</definedName>
    <definedName name="QBREPORTCOMPARECOL_PPDIFF" localSheetId="0">FALSE</definedName>
    <definedName name="QBREPORTCOMPARECOL_PPPCT" localSheetId="7">FALSE</definedName>
    <definedName name="QBREPORTCOMPARECOL_PPPCT" localSheetId="6">FALSE</definedName>
    <definedName name="QBREPORTCOMPARECOL_PPPCT" localSheetId="5">FALSE</definedName>
    <definedName name="QBREPORTCOMPARECOL_PPPCT" localSheetId="4">FALSE</definedName>
    <definedName name="QBREPORTCOMPARECOL_PPPCT" localSheetId="3">FALSE</definedName>
    <definedName name="QBREPORTCOMPARECOL_PPPCT" localSheetId="2">FALSE</definedName>
    <definedName name="QBREPORTCOMPARECOL_PPPCT" localSheetId="1">FALSE</definedName>
    <definedName name="QBREPORTCOMPARECOL_PPPCT" localSheetId="0">FALSE</definedName>
    <definedName name="QBREPORTCOMPARECOL_PREVPERIOD" localSheetId="7">FALSE</definedName>
    <definedName name="QBREPORTCOMPARECOL_PREVPERIOD" localSheetId="6">FALSE</definedName>
    <definedName name="QBREPORTCOMPARECOL_PREVPERIOD" localSheetId="5">FALSE</definedName>
    <definedName name="QBREPORTCOMPARECOL_PREVPERIOD" localSheetId="4">FALSE</definedName>
    <definedName name="QBREPORTCOMPARECOL_PREVPERIOD" localSheetId="3">FALSE</definedName>
    <definedName name="QBREPORTCOMPARECOL_PREVPERIOD" localSheetId="2">FALSE</definedName>
    <definedName name="QBREPORTCOMPARECOL_PREVPERIOD" localSheetId="1">FALSE</definedName>
    <definedName name="QBREPORTCOMPARECOL_PREVPERIOD" localSheetId="0">FALSE</definedName>
    <definedName name="QBREPORTCOMPARECOL_PREVYEAR" localSheetId="7">TRUE</definedName>
    <definedName name="QBREPORTCOMPARECOL_PREVYEAR" localSheetId="6">TRUE</definedName>
    <definedName name="QBREPORTCOMPARECOL_PREVYEAR" localSheetId="5">TRUE</definedName>
    <definedName name="QBREPORTCOMPARECOL_PREVYEAR" localSheetId="4">TRUE</definedName>
    <definedName name="QBREPORTCOMPARECOL_PREVYEAR" localSheetId="3">TRUE</definedName>
    <definedName name="QBREPORTCOMPARECOL_PREVYEAR" localSheetId="2">TRUE</definedName>
    <definedName name="QBREPORTCOMPARECOL_PREVYEAR" localSheetId="1">TRUE</definedName>
    <definedName name="QBREPORTCOMPARECOL_PREVYEAR" localSheetId="0">TRUE</definedName>
    <definedName name="QBREPORTCOMPARECOL_PYDIFF" localSheetId="7">TRUE</definedName>
    <definedName name="QBREPORTCOMPARECOL_PYDIFF" localSheetId="6">TRUE</definedName>
    <definedName name="QBREPORTCOMPARECOL_PYDIFF" localSheetId="5">TRUE</definedName>
    <definedName name="QBREPORTCOMPARECOL_PYDIFF" localSheetId="4">TRUE</definedName>
    <definedName name="QBREPORTCOMPARECOL_PYDIFF" localSheetId="3">TRUE</definedName>
    <definedName name="QBREPORTCOMPARECOL_PYDIFF" localSheetId="2">TRUE</definedName>
    <definedName name="QBREPORTCOMPARECOL_PYDIFF" localSheetId="1">TRUE</definedName>
    <definedName name="QBREPORTCOMPARECOL_PYDIFF" localSheetId="0">TRUE</definedName>
    <definedName name="QBREPORTCOMPARECOL_PYPCT" localSheetId="7">TRUE</definedName>
    <definedName name="QBREPORTCOMPARECOL_PYPCT" localSheetId="6">TRUE</definedName>
    <definedName name="QBREPORTCOMPARECOL_PYPCT" localSheetId="5">TRUE</definedName>
    <definedName name="QBREPORTCOMPARECOL_PYPCT" localSheetId="4">TRUE</definedName>
    <definedName name="QBREPORTCOMPARECOL_PYPCT" localSheetId="3">TRUE</definedName>
    <definedName name="QBREPORTCOMPARECOL_PYPCT" localSheetId="2">TRUE</definedName>
    <definedName name="QBREPORTCOMPARECOL_PYPCT" localSheetId="1">TRUE</definedName>
    <definedName name="QBREPORTCOMPARECOL_PYPCT" localSheetId="0">TRUE</definedName>
    <definedName name="QBREPORTCOMPARECOL_QTY" localSheetId="7">FALSE</definedName>
    <definedName name="QBREPORTCOMPARECOL_QTY" localSheetId="6">FALSE</definedName>
    <definedName name="QBREPORTCOMPARECOL_QTY" localSheetId="5">FALSE</definedName>
    <definedName name="QBREPORTCOMPARECOL_QTY" localSheetId="4">FALSE</definedName>
    <definedName name="QBREPORTCOMPARECOL_QTY" localSheetId="3">FALSE</definedName>
    <definedName name="QBREPORTCOMPARECOL_QTY" localSheetId="2">FALSE</definedName>
    <definedName name="QBREPORTCOMPARECOL_QTY" localSheetId="1">FALSE</definedName>
    <definedName name="QBREPORTCOMPARECOL_QTY" localSheetId="0">FALSE</definedName>
    <definedName name="QBREPORTCOMPARECOL_RATE" localSheetId="7">FALSE</definedName>
    <definedName name="QBREPORTCOMPARECOL_RATE" localSheetId="6">FALSE</definedName>
    <definedName name="QBREPORTCOMPARECOL_RATE" localSheetId="5">FALSE</definedName>
    <definedName name="QBREPORTCOMPARECOL_RATE" localSheetId="4">FALSE</definedName>
    <definedName name="QBREPORTCOMPARECOL_RATE" localSheetId="3">FALSE</definedName>
    <definedName name="QBREPORTCOMPARECOL_RATE" localSheetId="2">FALSE</definedName>
    <definedName name="QBREPORTCOMPARECOL_RATE" localSheetId="1">FALSE</definedName>
    <definedName name="QBREPORTCOMPARECOL_RATE" localSheetId="0">FALSE</definedName>
    <definedName name="QBREPORTCOMPARECOL_TRIPBILLEDMILES" localSheetId="7">FALSE</definedName>
    <definedName name="QBREPORTCOMPARECOL_TRIPBILLEDMILES" localSheetId="6">FALSE</definedName>
    <definedName name="QBREPORTCOMPARECOL_TRIPBILLEDMILES" localSheetId="5">FALSE</definedName>
    <definedName name="QBREPORTCOMPARECOL_TRIPBILLEDMILES" localSheetId="4">FALSE</definedName>
    <definedName name="QBREPORTCOMPARECOL_TRIPBILLEDMILES" localSheetId="3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7">FALSE</definedName>
    <definedName name="QBREPORTCOMPARECOL_TRIPBILLINGAMOUNT" localSheetId="6">FALSE</definedName>
    <definedName name="QBREPORTCOMPARECOL_TRIPBILLINGAMOUNT" localSheetId="5">FALSE</definedName>
    <definedName name="QBREPORTCOMPARECOL_TRIPBILLINGAMOUNT" localSheetId="4">FALSE</definedName>
    <definedName name="QBREPORTCOMPARECOL_TRIPBILLINGAMOUNT" localSheetId="3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7">FALSE</definedName>
    <definedName name="QBREPORTCOMPARECOL_TRIPMILES" localSheetId="6">FALSE</definedName>
    <definedName name="QBREPORTCOMPARECOL_TRIPMILES" localSheetId="5">FALSE</definedName>
    <definedName name="QBREPORTCOMPARECOL_TRIPMILES" localSheetId="4">FALSE</definedName>
    <definedName name="QBREPORTCOMPARECOL_TRIPMILES" localSheetId="3">FALSE</definedName>
    <definedName name="QBREPORTCOMPARECOL_TRIPMILES" localSheetId="2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7">FALSE</definedName>
    <definedName name="QBREPORTCOMPARECOL_TRIPNOTBILLABLEMILES" localSheetId="6">FALSE</definedName>
    <definedName name="QBREPORTCOMPARECOL_TRIPNOTBILLABLEMILES" localSheetId="5">FALSE</definedName>
    <definedName name="QBREPORTCOMPARECOL_TRIPNOTBILLABLEMILES" localSheetId="4">FALSE</definedName>
    <definedName name="QBREPORTCOMPARECOL_TRIPNOTBILLABLEMILES" localSheetId="3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7">FALSE</definedName>
    <definedName name="QBREPORTCOMPARECOL_TRIPTAXDEDUCTIBLEAMOUNT" localSheetId="6">FALSE</definedName>
    <definedName name="QBREPORTCOMPARECOL_TRIPTAXDEDUCTIBLEAMOUNT" localSheetId="5">FALSE</definedName>
    <definedName name="QBREPORTCOMPARECOL_TRIPTAXDEDUCTIBLEAMOUNT" localSheetId="4">FALSE</definedName>
    <definedName name="QBREPORTCOMPARECOL_TRIPTAXDEDUCTIBLEAMOUNT" localSheetId="3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7">FALSE</definedName>
    <definedName name="QBREPORTCOMPARECOL_TRIPUNBILLEDMILES" localSheetId="6">FALSE</definedName>
    <definedName name="QBREPORTCOMPARECOL_TRIPUNBILLEDMILES" localSheetId="5">FALSE</definedName>
    <definedName name="QBREPORTCOMPARECOL_TRIPUNBILLEDMILES" localSheetId="4">FALSE</definedName>
    <definedName name="QBREPORTCOMPARECOL_TRIPUNBILLEDMILES" localSheetId="3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0">FALSE</definedName>
    <definedName name="QBREPORTCOMPARECOL_YTD" localSheetId="7">FALSE</definedName>
    <definedName name="QBREPORTCOMPARECOL_YTD" localSheetId="6">FALSE</definedName>
    <definedName name="QBREPORTCOMPARECOL_YTD" localSheetId="5">FALSE</definedName>
    <definedName name="QBREPORTCOMPARECOL_YTD" localSheetId="4">FALSE</definedName>
    <definedName name="QBREPORTCOMPARECOL_YTD" localSheetId="3">FALSE</definedName>
    <definedName name="QBREPORTCOMPARECOL_YTD" localSheetId="2">FALSE</definedName>
    <definedName name="QBREPORTCOMPARECOL_YTD" localSheetId="1">FALSE</definedName>
    <definedName name="QBREPORTCOMPARECOL_YTD" localSheetId="0">FALSE</definedName>
    <definedName name="QBREPORTCOMPARECOL_YTDBUDGET" localSheetId="7">FALSE</definedName>
    <definedName name="QBREPORTCOMPARECOL_YTDBUDGET" localSheetId="6">FALSE</definedName>
    <definedName name="QBREPORTCOMPARECOL_YTDBUDGET" localSheetId="5">FALSE</definedName>
    <definedName name="QBREPORTCOMPARECOL_YTDBUDGET" localSheetId="4">FALSE</definedName>
    <definedName name="QBREPORTCOMPARECOL_YTDBUDGET" localSheetId="3">FALSE</definedName>
    <definedName name="QBREPORTCOMPARECOL_YTDBUDGET" localSheetId="2">FALSE</definedName>
    <definedName name="QBREPORTCOMPARECOL_YTDBUDGET" localSheetId="1">FALSE</definedName>
    <definedName name="QBREPORTCOMPARECOL_YTDBUDGET" localSheetId="0">FALSE</definedName>
    <definedName name="QBREPORTCOMPARECOL_YTDPCT" localSheetId="7">FALSE</definedName>
    <definedName name="QBREPORTCOMPARECOL_YTDPCT" localSheetId="6">FALSE</definedName>
    <definedName name="QBREPORTCOMPARECOL_YTDPCT" localSheetId="5">FALSE</definedName>
    <definedName name="QBREPORTCOMPARECOL_YTDPCT" localSheetId="4">FALSE</definedName>
    <definedName name="QBREPORTCOMPARECOL_YTDPCT" localSheetId="3">FALSE</definedName>
    <definedName name="QBREPORTCOMPARECOL_YTDPCT" localSheetId="2">FALSE</definedName>
    <definedName name="QBREPORTCOMPARECOL_YTDPCT" localSheetId="1">FALSE</definedName>
    <definedName name="QBREPORTCOMPARECOL_YTDPCT" localSheetId="0">FALSE</definedName>
    <definedName name="QBREPORTROWAXIS" localSheetId="7">11</definedName>
    <definedName name="QBREPORTROWAXIS" localSheetId="6">11</definedName>
    <definedName name="QBREPORTROWAXIS" localSheetId="5">11</definedName>
    <definedName name="QBREPORTROWAXIS" localSheetId="4">11</definedName>
    <definedName name="QBREPORTROWAXIS" localSheetId="3">11</definedName>
    <definedName name="QBREPORTROWAXIS" localSheetId="2">11</definedName>
    <definedName name="QBREPORTROWAXIS" localSheetId="1">11</definedName>
    <definedName name="QBREPORTROWAXIS" localSheetId="0">11</definedName>
    <definedName name="QBREPORTSUBCOLAXIS" localSheetId="7">24</definedName>
    <definedName name="QBREPORTSUBCOLAXIS" localSheetId="6">24</definedName>
    <definedName name="QBREPORTSUBCOLAXIS" localSheetId="5">24</definedName>
    <definedName name="QBREPORTSUBCOLAXIS" localSheetId="4">24</definedName>
    <definedName name="QBREPORTSUBCOLAXIS" localSheetId="3">24</definedName>
    <definedName name="QBREPORTSUBCOLAXIS" localSheetId="2">24</definedName>
    <definedName name="QBREPORTSUBCOLAXIS" localSheetId="1">24</definedName>
    <definedName name="QBREPORTSUBCOLAXIS" localSheetId="0">24</definedName>
    <definedName name="QBREPORTTYPE" localSheetId="7">1</definedName>
    <definedName name="QBREPORTTYPE" localSheetId="6">1</definedName>
    <definedName name="QBREPORTTYPE" localSheetId="5">1</definedName>
    <definedName name="QBREPORTTYPE" localSheetId="4">1</definedName>
    <definedName name="QBREPORTTYPE" localSheetId="3">1</definedName>
    <definedName name="QBREPORTTYPE" localSheetId="2">1</definedName>
    <definedName name="QBREPORTTYPE" localSheetId="1">1</definedName>
    <definedName name="QBREPORTTYPE" localSheetId="0">1</definedName>
    <definedName name="QBROWHEADERS" localSheetId="7">5</definedName>
    <definedName name="QBROWHEADERS" localSheetId="6">5</definedName>
    <definedName name="QBROWHEADERS" localSheetId="5">5</definedName>
    <definedName name="QBROWHEADERS" localSheetId="4">5</definedName>
    <definedName name="QBROWHEADERS" localSheetId="3">5</definedName>
    <definedName name="QBROWHEADERS" localSheetId="2">5</definedName>
    <definedName name="QBROWHEADERS" localSheetId="1">5</definedName>
    <definedName name="QBROWHEADERS" localSheetId="0">5</definedName>
    <definedName name="QBSTARTDATE" localSheetId="7">20140701</definedName>
    <definedName name="QBSTARTDATE" localSheetId="6">20150701</definedName>
    <definedName name="QBSTARTDATE" localSheetId="5">20160701</definedName>
    <definedName name="QBSTARTDATE" localSheetId="4">20170701</definedName>
    <definedName name="QBSTARTDATE" localSheetId="3">20180701</definedName>
    <definedName name="QBSTARTDATE" localSheetId="2">20190701</definedName>
    <definedName name="QBSTARTDATE" localSheetId="1">20200701</definedName>
    <definedName name="QBSTARTDATE" localSheetId="0">20180401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2" l="1"/>
  <c r="F11" i="12"/>
  <c r="F10" i="12"/>
  <c r="N16" i="32"/>
  <c r="F7" i="12" s="1"/>
  <c r="F6" i="12"/>
  <c r="N23" i="32"/>
  <c r="N22" i="32"/>
  <c r="N15" i="32"/>
  <c r="J6" i="32"/>
  <c r="L6" i="32"/>
  <c r="J7" i="32"/>
  <c r="L7" i="32"/>
  <c r="J8" i="32"/>
  <c r="L8" i="32"/>
  <c r="J9" i="32"/>
  <c r="L9" i="32"/>
  <c r="J10" i="32"/>
  <c r="L10" i="32"/>
  <c r="J11" i="32"/>
  <c r="L11" i="32"/>
  <c r="J12" i="32"/>
  <c r="L12" i="32"/>
  <c r="J13" i="32"/>
  <c r="L13" i="32"/>
  <c r="J14" i="32"/>
  <c r="L14" i="32"/>
  <c r="F15" i="32"/>
  <c r="F23" i="32" s="1"/>
  <c r="F24" i="32" s="1"/>
  <c r="H15" i="32"/>
  <c r="J17" i="32"/>
  <c r="L17" i="32"/>
  <c r="J18" i="32"/>
  <c r="L18" i="32"/>
  <c r="J19" i="32"/>
  <c r="L19" i="32"/>
  <c r="J20" i="32"/>
  <c r="L20" i="32"/>
  <c r="J21" i="32"/>
  <c r="L21" i="32"/>
  <c r="F22" i="32"/>
  <c r="H22" i="32"/>
  <c r="J25" i="32"/>
  <c r="L25" i="32"/>
  <c r="H23" i="32" l="1"/>
  <c r="H24" i="32" s="1"/>
  <c r="H26" i="32" s="1"/>
  <c r="J22" i="32"/>
  <c r="F26" i="32"/>
  <c r="L22" i="32"/>
  <c r="L23" i="32"/>
  <c r="J23" i="32"/>
  <c r="L15" i="32"/>
  <c r="J15" i="32"/>
  <c r="K44" i="28"/>
  <c r="I44" i="28"/>
  <c r="K42" i="28"/>
  <c r="I42" i="28"/>
  <c r="K41" i="28"/>
  <c r="I41" i="28"/>
  <c r="K40" i="28"/>
  <c r="I40" i="28"/>
  <c r="G38" i="28"/>
  <c r="E38" i="28"/>
  <c r="K38" i="28" s="1"/>
  <c r="K37" i="28"/>
  <c r="I37" i="28"/>
  <c r="K36" i="28"/>
  <c r="I36" i="28"/>
  <c r="K35" i="28"/>
  <c r="I35" i="28"/>
  <c r="K34" i="28"/>
  <c r="I34" i="28"/>
  <c r="K33" i="28"/>
  <c r="I33" i="28"/>
  <c r="K32" i="28"/>
  <c r="I32" i="28"/>
  <c r="K31" i="28"/>
  <c r="I31" i="28"/>
  <c r="K30" i="28"/>
  <c r="I30" i="28"/>
  <c r="K29" i="28"/>
  <c r="I29" i="28"/>
  <c r="K28" i="28"/>
  <c r="I28" i="28"/>
  <c r="K27" i="28"/>
  <c r="I27" i="28"/>
  <c r="K25" i="28"/>
  <c r="I25" i="28"/>
  <c r="G25" i="28"/>
  <c r="G39" i="28" s="1"/>
  <c r="G43" i="28" s="1"/>
  <c r="G45" i="28" s="1"/>
  <c r="E25" i="28"/>
  <c r="K24" i="28"/>
  <c r="I24" i="28"/>
  <c r="K23" i="28"/>
  <c r="I23" i="28"/>
  <c r="K22" i="28"/>
  <c r="I22" i="28"/>
  <c r="K21" i="28"/>
  <c r="I21" i="28"/>
  <c r="K20" i="28"/>
  <c r="I20" i="28"/>
  <c r="K19" i="28"/>
  <c r="I19" i="28"/>
  <c r="K18" i="28"/>
  <c r="I18" i="28"/>
  <c r="K17" i="28"/>
  <c r="I17" i="28"/>
  <c r="K16" i="28"/>
  <c r="I16" i="28"/>
  <c r="K15" i="28"/>
  <c r="I15" i="28"/>
  <c r="K14" i="28"/>
  <c r="I14" i="28"/>
  <c r="K13" i="28"/>
  <c r="I13" i="28"/>
  <c r="K12" i="28"/>
  <c r="I12" i="28"/>
  <c r="K11" i="28"/>
  <c r="I11" i="28"/>
  <c r="K10" i="28"/>
  <c r="I10" i="28"/>
  <c r="K9" i="28"/>
  <c r="I9" i="28"/>
  <c r="K8" i="28"/>
  <c r="I8" i="28"/>
  <c r="K7" i="28"/>
  <c r="I7" i="28"/>
  <c r="K6" i="28"/>
  <c r="I6" i="28"/>
  <c r="K5" i="28"/>
  <c r="I5" i="28"/>
  <c r="J24" i="32" l="1"/>
  <c r="L24" i="32"/>
  <c r="L26" i="32"/>
  <c r="J26" i="32"/>
  <c r="E39" i="28"/>
  <c r="I38" i="28"/>
  <c r="K42" i="29"/>
  <c r="I42" i="29"/>
  <c r="K40" i="29"/>
  <c r="I40" i="29"/>
  <c r="K39" i="29"/>
  <c r="I39" i="29"/>
  <c r="K38" i="29"/>
  <c r="I38" i="29"/>
  <c r="G36" i="29"/>
  <c r="E36" i="29"/>
  <c r="K36" i="29" s="1"/>
  <c r="K35" i="29"/>
  <c r="I35" i="29"/>
  <c r="K34" i="29"/>
  <c r="I34" i="29"/>
  <c r="K33" i="29"/>
  <c r="I33" i="29"/>
  <c r="K32" i="29"/>
  <c r="I32" i="29"/>
  <c r="K31" i="29"/>
  <c r="I31" i="29"/>
  <c r="K30" i="29"/>
  <c r="I30" i="29"/>
  <c r="K29" i="29"/>
  <c r="I29" i="29"/>
  <c r="K28" i="29"/>
  <c r="I28" i="29"/>
  <c r="K27" i="29"/>
  <c r="I27" i="29"/>
  <c r="K26" i="29"/>
  <c r="I26" i="29"/>
  <c r="G24" i="29"/>
  <c r="G37" i="29" s="1"/>
  <c r="G41" i="29" s="1"/>
  <c r="G43" i="29" s="1"/>
  <c r="E24" i="29"/>
  <c r="K24" i="29" s="1"/>
  <c r="K23" i="29"/>
  <c r="I23" i="29"/>
  <c r="K22" i="29"/>
  <c r="I22" i="29"/>
  <c r="K21" i="29"/>
  <c r="I21" i="29"/>
  <c r="K20" i="29"/>
  <c r="I20" i="29"/>
  <c r="K19" i="29"/>
  <c r="I19" i="29"/>
  <c r="K18" i="29"/>
  <c r="I18" i="29"/>
  <c r="K17" i="29"/>
  <c r="I17" i="29"/>
  <c r="K16" i="29"/>
  <c r="I16" i="29"/>
  <c r="K15" i="29"/>
  <c r="I15" i="29"/>
  <c r="K14" i="29"/>
  <c r="I14" i="29"/>
  <c r="K13" i="29"/>
  <c r="I13" i="29"/>
  <c r="K12" i="29"/>
  <c r="I12" i="29"/>
  <c r="K11" i="29"/>
  <c r="I11" i="29"/>
  <c r="K10" i="29"/>
  <c r="I10" i="29"/>
  <c r="K9" i="29"/>
  <c r="I9" i="29"/>
  <c r="K8" i="29"/>
  <c r="I8" i="29"/>
  <c r="K7" i="29"/>
  <c r="I7" i="29"/>
  <c r="K6" i="29"/>
  <c r="I6" i="29"/>
  <c r="K5" i="29"/>
  <c r="I5" i="29"/>
  <c r="K39" i="28" l="1"/>
  <c r="E43" i="28"/>
  <c r="I39" i="28"/>
  <c r="E37" i="29"/>
  <c r="I24" i="29"/>
  <c r="I36" i="29"/>
  <c r="K43" i="28" l="1"/>
  <c r="E45" i="28"/>
  <c r="I43" i="28"/>
  <c r="K37" i="29"/>
  <c r="E41" i="29"/>
  <c r="I37" i="29"/>
  <c r="N24" i="27"/>
  <c r="N23" i="27"/>
  <c r="N21" i="22"/>
  <c r="N20" i="22"/>
  <c r="N24" i="23"/>
  <c r="N23" i="23"/>
  <c r="N22" i="24"/>
  <c r="N21" i="24"/>
  <c r="N23" i="25"/>
  <c r="N22" i="25"/>
  <c r="N26" i="26"/>
  <c r="N25" i="26"/>
  <c r="N18" i="26"/>
  <c r="N17" i="26"/>
  <c r="N16" i="25"/>
  <c r="N15" i="25"/>
  <c r="N16" i="24"/>
  <c r="N15" i="24"/>
  <c r="N17" i="23"/>
  <c r="N16" i="23"/>
  <c r="N15" i="22"/>
  <c r="N14" i="22"/>
  <c r="N17" i="27"/>
  <c r="N16" i="27"/>
  <c r="J6" i="27"/>
  <c r="L6" i="27"/>
  <c r="J7" i="27"/>
  <c r="L7" i="27"/>
  <c r="J8" i="27"/>
  <c r="L8" i="27"/>
  <c r="J9" i="27"/>
  <c r="L9" i="27"/>
  <c r="J10" i="27"/>
  <c r="L10" i="27"/>
  <c r="J11" i="27"/>
  <c r="L11" i="27"/>
  <c r="J12" i="27"/>
  <c r="L12" i="27"/>
  <c r="J13" i="27"/>
  <c r="L13" i="27"/>
  <c r="J14" i="27"/>
  <c r="L14" i="27"/>
  <c r="J15" i="27"/>
  <c r="L15" i="27"/>
  <c r="F16" i="27"/>
  <c r="H16" i="27"/>
  <c r="J18" i="27"/>
  <c r="L18" i="27"/>
  <c r="J19" i="27"/>
  <c r="L19" i="27"/>
  <c r="J20" i="27"/>
  <c r="L20" i="27"/>
  <c r="J21" i="27"/>
  <c r="L21" i="27"/>
  <c r="J22" i="27"/>
  <c r="L22" i="27"/>
  <c r="F23" i="27"/>
  <c r="H23" i="27"/>
  <c r="J24" i="27"/>
  <c r="L24" i="27"/>
  <c r="J26" i="27"/>
  <c r="L26" i="27"/>
  <c r="J28" i="27"/>
  <c r="L28" i="27"/>
  <c r="K45" i="28" l="1"/>
  <c r="I45" i="28"/>
  <c r="K41" i="29"/>
  <c r="E43" i="29"/>
  <c r="I41" i="29"/>
  <c r="J23" i="27"/>
  <c r="J16" i="27"/>
  <c r="L23" i="27"/>
  <c r="L16" i="27"/>
  <c r="H25" i="27"/>
  <c r="H27" i="27" s="1"/>
  <c r="H29" i="27" s="1"/>
  <c r="F25" i="27"/>
  <c r="F15" i="12"/>
  <c r="J6" i="26"/>
  <c r="L6" i="26"/>
  <c r="J7" i="26"/>
  <c r="L7" i="26"/>
  <c r="J8" i="26"/>
  <c r="L8" i="26"/>
  <c r="J9" i="26"/>
  <c r="L9" i="26"/>
  <c r="J10" i="26"/>
  <c r="L10" i="26"/>
  <c r="J11" i="26"/>
  <c r="L11" i="26"/>
  <c r="J12" i="26"/>
  <c r="L12" i="26"/>
  <c r="J13" i="26"/>
  <c r="L13" i="26"/>
  <c r="J14" i="26"/>
  <c r="L14" i="26"/>
  <c r="J15" i="26"/>
  <c r="L15" i="26"/>
  <c r="J16" i="26"/>
  <c r="L16" i="26"/>
  <c r="F17" i="26"/>
  <c r="H17" i="26"/>
  <c r="L17" i="26" s="1"/>
  <c r="J19" i="26"/>
  <c r="L19" i="26"/>
  <c r="J20" i="26"/>
  <c r="L20" i="26"/>
  <c r="J21" i="26"/>
  <c r="L21" i="26"/>
  <c r="J22" i="26"/>
  <c r="L22" i="26"/>
  <c r="J23" i="26"/>
  <c r="L23" i="26"/>
  <c r="J24" i="26"/>
  <c r="L24" i="26"/>
  <c r="F25" i="26"/>
  <c r="H25" i="26"/>
  <c r="L25" i="26" s="1"/>
  <c r="F26" i="26"/>
  <c r="H26" i="26"/>
  <c r="L26" i="26" s="1"/>
  <c r="J27" i="26"/>
  <c r="L27" i="26"/>
  <c r="J28" i="26"/>
  <c r="L28" i="26"/>
  <c r="J29" i="26"/>
  <c r="L29" i="26"/>
  <c r="F30" i="26"/>
  <c r="F32" i="26" s="1"/>
  <c r="J31" i="26"/>
  <c r="L31" i="26"/>
  <c r="J6" i="25"/>
  <c r="L6" i="25"/>
  <c r="J7" i="25"/>
  <c r="L7" i="25"/>
  <c r="J8" i="25"/>
  <c r="L8" i="25"/>
  <c r="J9" i="25"/>
  <c r="L9" i="25"/>
  <c r="J10" i="25"/>
  <c r="L10" i="25"/>
  <c r="J11" i="25"/>
  <c r="L11" i="25"/>
  <c r="J12" i="25"/>
  <c r="L12" i="25"/>
  <c r="J13" i="25"/>
  <c r="L13" i="25"/>
  <c r="J14" i="25"/>
  <c r="L14" i="25"/>
  <c r="F15" i="25"/>
  <c r="J15" i="25" s="1"/>
  <c r="H15" i="25"/>
  <c r="J17" i="25"/>
  <c r="L17" i="25"/>
  <c r="J18" i="25"/>
  <c r="L18" i="25"/>
  <c r="J19" i="25"/>
  <c r="L19" i="25"/>
  <c r="J20" i="25"/>
  <c r="L20" i="25"/>
  <c r="J21" i="25"/>
  <c r="L21" i="25"/>
  <c r="F22" i="25"/>
  <c r="H22" i="25"/>
  <c r="J24" i="25"/>
  <c r="L24" i="25"/>
  <c r="J26" i="25"/>
  <c r="L26" i="25"/>
  <c r="K43" i="29" l="1"/>
  <c r="I43" i="29"/>
  <c r="L25" i="27"/>
  <c r="J25" i="27"/>
  <c r="F27" i="27"/>
  <c r="H23" i="25"/>
  <c r="H25" i="25" s="1"/>
  <c r="H27" i="25" s="1"/>
  <c r="L15" i="25"/>
  <c r="F12" i="12"/>
  <c r="J22" i="25"/>
  <c r="J26" i="26"/>
  <c r="J17" i="26"/>
  <c r="J25" i="26"/>
  <c r="F14" i="12"/>
  <c r="H30" i="26"/>
  <c r="J30" i="26" s="1"/>
  <c r="L22" i="25"/>
  <c r="F23" i="25"/>
  <c r="J6" i="24"/>
  <c r="L6" i="24"/>
  <c r="J7" i="24"/>
  <c r="L7" i="24"/>
  <c r="J8" i="24"/>
  <c r="L8" i="24"/>
  <c r="J9" i="24"/>
  <c r="L9" i="24"/>
  <c r="J10" i="24"/>
  <c r="L10" i="24"/>
  <c r="J11" i="24"/>
  <c r="L11" i="24"/>
  <c r="J12" i="24"/>
  <c r="L12" i="24"/>
  <c r="J13" i="24"/>
  <c r="L13" i="24"/>
  <c r="J14" i="24"/>
  <c r="L14" i="24"/>
  <c r="F15" i="24"/>
  <c r="H15" i="24"/>
  <c r="J17" i="24"/>
  <c r="L17" i="24"/>
  <c r="J18" i="24"/>
  <c r="L18" i="24"/>
  <c r="J19" i="24"/>
  <c r="L19" i="24"/>
  <c r="J20" i="24"/>
  <c r="L20" i="24"/>
  <c r="F21" i="24"/>
  <c r="H21" i="24"/>
  <c r="L21" i="24" s="1"/>
  <c r="J22" i="24"/>
  <c r="L22" i="24"/>
  <c r="J24" i="24"/>
  <c r="L24" i="24"/>
  <c r="J25" i="24"/>
  <c r="L25" i="24"/>
  <c r="J27" i="24"/>
  <c r="L27" i="24"/>
  <c r="J6" i="23"/>
  <c r="L6" i="23"/>
  <c r="J7" i="23"/>
  <c r="L7" i="23"/>
  <c r="J8" i="23"/>
  <c r="L8" i="23"/>
  <c r="J9" i="23"/>
  <c r="L9" i="23"/>
  <c r="J10" i="23"/>
  <c r="L10" i="23"/>
  <c r="J11" i="23"/>
  <c r="L11" i="23"/>
  <c r="J12" i="23"/>
  <c r="L12" i="23"/>
  <c r="J13" i="23"/>
  <c r="L13" i="23"/>
  <c r="J14" i="23"/>
  <c r="L14" i="23"/>
  <c r="J15" i="23"/>
  <c r="L15" i="23"/>
  <c r="F16" i="23"/>
  <c r="H16" i="23"/>
  <c r="J18" i="23"/>
  <c r="L18" i="23"/>
  <c r="J19" i="23"/>
  <c r="L19" i="23"/>
  <c r="J20" i="23"/>
  <c r="L20" i="23"/>
  <c r="J21" i="23"/>
  <c r="L21" i="23"/>
  <c r="J22" i="23"/>
  <c r="L22" i="23"/>
  <c r="F23" i="23"/>
  <c r="H23" i="23"/>
  <c r="J24" i="23"/>
  <c r="L24" i="23"/>
  <c r="J26" i="23"/>
  <c r="L26" i="23"/>
  <c r="J27" i="23"/>
  <c r="L27" i="23"/>
  <c r="J29" i="23"/>
  <c r="L29" i="23"/>
  <c r="J6" i="22"/>
  <c r="L6" i="22"/>
  <c r="J7" i="22"/>
  <c r="L7" i="22"/>
  <c r="J8" i="22"/>
  <c r="L8" i="22"/>
  <c r="J9" i="22"/>
  <c r="L9" i="22"/>
  <c r="J10" i="22"/>
  <c r="L10" i="22"/>
  <c r="J11" i="22"/>
  <c r="L11" i="22"/>
  <c r="J12" i="22"/>
  <c r="L12" i="22"/>
  <c r="J13" i="22"/>
  <c r="L13" i="22"/>
  <c r="F14" i="22"/>
  <c r="H14" i="22"/>
  <c r="H22" i="22" s="1"/>
  <c r="H24" i="22" s="1"/>
  <c r="H26" i="22" s="1"/>
  <c r="J16" i="22"/>
  <c r="L16" i="22"/>
  <c r="J17" i="22"/>
  <c r="L17" i="22"/>
  <c r="J18" i="22"/>
  <c r="L18" i="22"/>
  <c r="J19" i="22"/>
  <c r="L19" i="22"/>
  <c r="F20" i="22"/>
  <c r="H20" i="22"/>
  <c r="J21" i="22"/>
  <c r="L21" i="22"/>
  <c r="J23" i="22"/>
  <c r="L23" i="22"/>
  <c r="J25" i="22"/>
  <c r="L25" i="22"/>
  <c r="J27" i="27" l="1"/>
  <c r="F29" i="27"/>
  <c r="L27" i="27"/>
  <c r="L16" i="23"/>
  <c r="J20" i="22"/>
  <c r="L23" i="23"/>
  <c r="J15" i="24"/>
  <c r="J16" i="23"/>
  <c r="F23" i="24"/>
  <c r="F26" i="24" s="1"/>
  <c r="F28" i="24" s="1"/>
  <c r="J21" i="24"/>
  <c r="F25" i="23"/>
  <c r="J23" i="23"/>
  <c r="L14" i="22"/>
  <c r="H25" i="23"/>
  <c r="L15" i="24"/>
  <c r="L30" i="26"/>
  <c r="H32" i="26"/>
  <c r="J23" i="25"/>
  <c r="F25" i="25"/>
  <c r="L23" i="25"/>
  <c r="H23" i="24"/>
  <c r="L20" i="22"/>
  <c r="F22" i="22"/>
  <c r="J14" i="22"/>
  <c r="F8" i="12"/>
  <c r="J29" i="27" l="1"/>
  <c r="L29" i="27"/>
  <c r="J25" i="23"/>
  <c r="F28" i="23"/>
  <c r="L25" i="23"/>
  <c r="H28" i="23"/>
  <c r="L32" i="26"/>
  <c r="J32" i="26"/>
  <c r="J25" i="25"/>
  <c r="F27" i="25"/>
  <c r="L25" i="25"/>
  <c r="H26" i="24"/>
  <c r="J23" i="24"/>
  <c r="L23" i="24"/>
  <c r="L22" i="22"/>
  <c r="J22" i="22"/>
  <c r="F24" i="22"/>
  <c r="F18" i="12"/>
  <c r="J28" i="23" l="1"/>
  <c r="F30" i="23"/>
  <c r="L28" i="23"/>
  <c r="H30" i="23"/>
  <c r="J27" i="25"/>
  <c r="L27" i="25"/>
  <c r="L26" i="24"/>
  <c r="J26" i="24"/>
  <c r="H28" i="24"/>
  <c r="L24" i="22"/>
  <c r="J24" i="22"/>
  <c r="F26" i="22"/>
  <c r="J30" i="23" l="1"/>
  <c r="L30" i="23"/>
  <c r="L28" i="24"/>
  <c r="J28" i="24"/>
  <c r="L26" i="22"/>
  <c r="J26" i="22"/>
</calcChain>
</file>

<file path=xl/sharedStrings.xml><?xml version="1.0" encoding="utf-8"?>
<sst xmlns="http://schemas.openxmlformats.org/spreadsheetml/2006/main" count="392" uniqueCount="104">
  <si>
    <t>Income</t>
  </si>
  <si>
    <t>Assessments</t>
  </si>
  <si>
    <t>Fresh</t>
  </si>
  <si>
    <t>Total Fresh</t>
  </si>
  <si>
    <t>Process</t>
  </si>
  <si>
    <t>Total Process</t>
  </si>
  <si>
    <t>Total Assessments</t>
  </si>
  <si>
    <t>Interest Income</t>
  </si>
  <si>
    <t>Total Income</t>
  </si>
  <si>
    <t>Jul '17 - Jun 18</t>
  </si>
  <si>
    <t>Jul '16 - Jun 17</t>
  </si>
  <si>
    <t>$ Change</t>
  </si>
  <si>
    <t>% Change</t>
  </si>
  <si>
    <t>Fresh @ .16 - 2017</t>
  </si>
  <si>
    <t>Fresh @ .16 - 2016</t>
  </si>
  <si>
    <t>Fresh @ .08 - 2017</t>
  </si>
  <si>
    <t>Fresh @ .16 - 2015</t>
  </si>
  <si>
    <t>Fresh @ .08 - 2016</t>
  </si>
  <si>
    <t>Fresh @ .08 - 2015</t>
  </si>
  <si>
    <t>Fresh @ .08 - 2013</t>
  </si>
  <si>
    <t>Fresh @ .16 - 2013</t>
  </si>
  <si>
    <t>Fresh @ .16 - 2014</t>
  </si>
  <si>
    <t>Fresh @ .08 - 2014</t>
  </si>
  <si>
    <t>Process 2017</t>
  </si>
  <si>
    <t>Process 2016</t>
  </si>
  <si>
    <t>Process 2015</t>
  </si>
  <si>
    <t>Process - 2014</t>
  </si>
  <si>
    <t>Process - 2013</t>
  </si>
  <si>
    <t>Assessments - Other</t>
  </si>
  <si>
    <t>Returned Check Charges</t>
  </si>
  <si>
    <t>Expense</t>
  </si>
  <si>
    <t>Net Income</t>
  </si>
  <si>
    <t>Process 2018</t>
  </si>
  <si>
    <t>Fresh @ .08 - 2018</t>
  </si>
  <si>
    <t>Fresh @ .16 - 2018</t>
  </si>
  <si>
    <t>Jul '18 - Jun 19</t>
  </si>
  <si>
    <t>Fresh @ .08 - 2011</t>
  </si>
  <si>
    <t>Jul '15 - Jun 16</t>
  </si>
  <si>
    <t>Process - 2011</t>
  </si>
  <si>
    <t>Process - 2012</t>
  </si>
  <si>
    <t>Fresh @ .16 - 2011</t>
  </si>
  <si>
    <t>Fresh @ .08 - 2012</t>
  </si>
  <si>
    <t>Jul '14 - Jun 15</t>
  </si>
  <si>
    <t>Finance Charges</t>
  </si>
  <si>
    <t>Late Payment Fees</t>
  </si>
  <si>
    <t>Process 2007</t>
  </si>
  <si>
    <t>Process 2010</t>
  </si>
  <si>
    <t>Fresh @ .16 - 2012</t>
  </si>
  <si>
    <t>Fresh @ .08 - 2010</t>
  </si>
  <si>
    <t>Fresh @ .16 - 2010</t>
  </si>
  <si>
    <t>Fresh @ .16 - 2007</t>
  </si>
  <si>
    <t>Jul '13 - Jun 14</t>
  </si>
  <si>
    <t xml:space="preserve"> Avg. Fresh</t>
  </si>
  <si>
    <t>Avg. Fresh - Current Year</t>
  </si>
  <si>
    <t>Avg. Fresh - Prior Years</t>
  </si>
  <si>
    <t>Avg. Total Fresh</t>
  </si>
  <si>
    <t>Avg. Process</t>
  </si>
  <si>
    <t>Avg. Process - Current Year</t>
  </si>
  <si>
    <t>Avg. Process - Prior Years</t>
  </si>
  <si>
    <t>Avg. Total Process</t>
  </si>
  <si>
    <t>Avg. Total Current Year Assessments</t>
  </si>
  <si>
    <t>Avg. Total Prior Year Assessments</t>
  </si>
  <si>
    <t>Process 2019</t>
  </si>
  <si>
    <t>Fresh @ .08 - 2019</t>
  </si>
  <si>
    <t>Fresh @ .16 - 2019</t>
  </si>
  <si>
    <t>Jul '19 - Jun 20</t>
  </si>
  <si>
    <t>Total Current Year Fresh</t>
  </si>
  <si>
    <t>Total Prior Year Fresh</t>
  </si>
  <si>
    <t>Total Current Year Process</t>
  </si>
  <si>
    <t>Total Prior Year Process</t>
  </si>
  <si>
    <t>2018 AMO Collections</t>
  </si>
  <si>
    <t>2019 AMO Collections</t>
  </si>
  <si>
    <t>2017 AMO Collections</t>
  </si>
  <si>
    <t>2016 AMO Collections</t>
  </si>
  <si>
    <t>2015 AMO Collections</t>
  </si>
  <si>
    <t>2014 AMO Collections</t>
  </si>
  <si>
    <t>Jul '11 - Jun 12</t>
  </si>
  <si>
    <t>Jul '10 - Jun 11</t>
  </si>
  <si>
    <t>Fresh @ .16 - 2009</t>
  </si>
  <si>
    <t>Fresh @ .16 - 2008</t>
  </si>
  <si>
    <t>Fresh @ .08 - 2009</t>
  </si>
  <si>
    <t>Fresh @ .16 - 2006</t>
  </si>
  <si>
    <t>Fresh @ .08 - 2007</t>
  </si>
  <si>
    <t>Fresh @ .16 - 2005</t>
  </si>
  <si>
    <t>Fresh @ .08 - 2004</t>
  </si>
  <si>
    <t>Fresh @ .08 - 2005</t>
  </si>
  <si>
    <t>Fresh @ .08 - 2006</t>
  </si>
  <si>
    <t>Fresh @ .08 - 2008</t>
  </si>
  <si>
    <t>Process 2008</t>
  </si>
  <si>
    <t>Process 2009</t>
  </si>
  <si>
    <t>Process 2003</t>
  </si>
  <si>
    <t>Process 2006</t>
  </si>
  <si>
    <t>Process 2005</t>
  </si>
  <si>
    <t>Jul '12 - Jun 13</t>
  </si>
  <si>
    <t>Fresh @ .16 - 2003</t>
  </si>
  <si>
    <t>Fresh @ .16 - 2002</t>
  </si>
  <si>
    <t>Process 2002</t>
  </si>
  <si>
    <t>10 YEAR AVG. TOTAL ASSESSMENTS</t>
  </si>
  <si>
    <t>6 YEAR AVG. TOTAL ANNUAL ASSESSMENTS</t>
  </si>
  <si>
    <t>Process 2020</t>
  </si>
  <si>
    <t>Fresh @ .08 - 2020</t>
  </si>
  <si>
    <t>Fresh @ .16 - 2020</t>
  </si>
  <si>
    <t>Jul '20 - Jun 21</t>
  </si>
  <si>
    <t>6 and 10-Year Average Collections 
(through 2020-21 crop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</si>
</sst>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#%_);\(#,##0.0#%\)"/>
  </numFmts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44" fontId="7" fillId="0" borderId="0" applyFont="0" applyFill="0" applyBorder="0" applyAlignment="0" applyProtection="0"/>
  </cellStyleXfs>
  <cellXfs count="54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39" fontId="2" fillId="0" borderId="0" xfId="0" applyNumberFormat="1" applyFont="1"/>
    <xf numFmtId="39" fontId="2" fillId="0" borderId="2" xfId="0" applyNumberFormat="1" applyFont="1" applyBorder="1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3" fillId="0" borderId="0" xfId="1"/>
    <xf numFmtId="164" fontId="2" fillId="0" borderId="0" xfId="0" applyNumberFormat="1" applyFont="1"/>
    <xf numFmtId="164" fontId="2" fillId="0" borderId="2" xfId="0" applyNumberFormat="1" applyFont="1" applyBorder="1"/>
    <xf numFmtId="39" fontId="2" fillId="0" borderId="0" xfId="0" applyNumberFormat="1" applyFont="1" applyBorder="1"/>
    <xf numFmtId="164" fontId="2" fillId="0" borderId="0" xfId="0" applyNumberFormat="1" applyFont="1" applyBorder="1"/>
    <xf numFmtId="39" fontId="1" fillId="0" borderId="3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49" fontId="2" fillId="0" borderId="0" xfId="0" applyNumberFormat="1" applyFont="1"/>
    <xf numFmtId="49" fontId="0" fillId="0" borderId="0" xfId="0" applyNumberFormat="1" applyAlignment="1">
      <alignment horizontal="center"/>
    </xf>
    <xf numFmtId="164" fontId="2" fillId="0" borderId="5" xfId="0" applyNumberFormat="1" applyFont="1" applyBorder="1"/>
    <xf numFmtId="39" fontId="2" fillId="0" borderId="5" xfId="0" applyNumberFormat="1" applyFont="1" applyBorder="1"/>
    <xf numFmtId="39" fontId="2" fillId="2" borderId="0" xfId="0" applyNumberFormat="1" applyFont="1" applyFill="1"/>
    <xf numFmtId="39" fontId="2" fillId="3" borderId="0" xfId="0" applyNumberFormat="1" applyFont="1" applyFill="1"/>
    <xf numFmtId="39" fontId="2" fillId="3" borderId="2" xfId="0" applyNumberFormat="1" applyFont="1" applyFill="1" applyBorder="1"/>
    <xf numFmtId="49" fontId="1" fillId="2" borderId="0" xfId="0" applyNumberFormat="1" applyFont="1" applyFill="1"/>
    <xf numFmtId="39" fontId="2" fillId="3" borderId="0" xfId="0" applyNumberFormat="1" applyFont="1" applyFill="1" applyBorder="1"/>
    <xf numFmtId="0" fontId="4" fillId="0" borderId="0" xfId="0" applyFont="1"/>
    <xf numFmtId="49" fontId="0" fillId="4" borderId="0" xfId="0" applyNumberFormat="1" applyFill="1" applyAlignment="1">
      <alignment horizontal="center"/>
    </xf>
    <xf numFmtId="49" fontId="2" fillId="4" borderId="0" xfId="0" applyNumberFormat="1" applyFont="1" applyFill="1"/>
    <xf numFmtId="49" fontId="1" fillId="4" borderId="0" xfId="0" applyNumberFormat="1" applyFont="1" applyFill="1"/>
    <xf numFmtId="44" fontId="8" fillId="0" borderId="0" xfId="2" applyFont="1"/>
    <xf numFmtId="44" fontId="8" fillId="2" borderId="0" xfId="2" applyFont="1" applyFill="1"/>
    <xf numFmtId="0" fontId="0" fillId="0" borderId="6" xfId="0" applyBorder="1"/>
    <xf numFmtId="0" fontId="0" fillId="0" borderId="8" xfId="0" applyBorder="1"/>
    <xf numFmtId="39" fontId="0" fillId="2" borderId="7" xfId="0" applyNumberFormat="1" applyFill="1" applyBorder="1"/>
    <xf numFmtId="39" fontId="0" fillId="3" borderId="9" xfId="0" applyNumberFormat="1" applyFill="1" applyBorder="1"/>
    <xf numFmtId="44" fontId="8" fillId="3" borderId="2" xfId="2" applyFont="1" applyFill="1" applyBorder="1"/>
    <xf numFmtId="44" fontId="9" fillId="0" borderId="0" xfId="2" applyFont="1"/>
    <xf numFmtId="49" fontId="6" fillId="0" borderId="1" xfId="0" applyNumberFormat="1" applyFont="1" applyBorder="1" applyAlignment="1">
      <alignment horizontal="center" vertical="center" wrapText="1"/>
    </xf>
    <xf numFmtId="0" fontId="0" fillId="0" borderId="10" xfId="0" applyBorder="1"/>
    <xf numFmtId="44" fontId="0" fillId="2" borderId="0" xfId="2" applyFont="1" applyFill="1"/>
    <xf numFmtId="39" fontId="1" fillId="2" borderId="3" xfId="0" applyNumberFormat="1" applyFont="1" applyFill="1" applyBorder="1"/>
    <xf numFmtId="0" fontId="0" fillId="4" borderId="0" xfId="0" applyFill="1"/>
    <xf numFmtId="44" fontId="2" fillId="2" borderId="0" xfId="2" applyFont="1" applyFill="1"/>
    <xf numFmtId="44" fontId="1" fillId="2" borderId="3" xfId="2" applyFont="1" applyFill="1" applyBorder="1"/>
    <xf numFmtId="0" fontId="1" fillId="4" borderId="0" xfId="0" applyNumberFormat="1" applyFont="1" applyFill="1"/>
    <xf numFmtId="0" fontId="0" fillId="4" borderId="0" xfId="0" applyNumberFormat="1" applyFill="1"/>
    <xf numFmtId="164" fontId="2" fillId="0" borderId="11" xfId="0" applyNumberFormat="1" applyFont="1" applyBorder="1"/>
    <xf numFmtId="39" fontId="2" fillId="0" borderId="11" xfId="0" applyNumberFormat="1" applyFont="1" applyBorder="1"/>
    <xf numFmtId="49" fontId="0" fillId="0" borderId="0" xfId="0" applyNumberFormat="1" applyAlignment="1">
      <alignment horizontal="centerContinuous"/>
    </xf>
    <xf numFmtId="49" fontId="0" fillId="0" borderId="4" xfId="0" applyNumberFormat="1" applyBorder="1" applyAlignment="1">
      <alignment horizontal="centerContinuous"/>
    </xf>
    <xf numFmtId="49" fontId="5" fillId="0" borderId="4" xfId="0" applyNumberFormat="1" applyFont="1" applyBorder="1" applyAlignment="1">
      <alignment horizontal="center" vertical="center"/>
    </xf>
    <xf numFmtId="0" fontId="3" fillId="0" borderId="0" xfId="1" applyAlignment="1"/>
  </cellXfs>
  <cellStyles count="3">
    <cellStyle name="Currency" xfId="2" builtinId="4"/>
    <cellStyle name="Normal" xfId="0" builtinId="0"/>
    <cellStyle name="Normal 2" xfId="1" xr:uid="{2D6931DA-2FF3-4C77-B0CC-43CFD6CDAC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6.emf"/><Relationship Id="rId1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38100</xdr:rowOff>
        </xdr:to>
        <xdr:sp macro="" textlink="">
          <xdr:nvSpPr>
            <xdr:cNvPr id="19457" name="FILTER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0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38100</xdr:rowOff>
        </xdr:to>
        <xdr:sp macro="" textlink="">
          <xdr:nvSpPr>
            <xdr:cNvPr id="19458" name="HEADER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0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35841" name="FILTER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01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35842" name="HEADER" hidden="1">
              <a:extLst>
                <a:ext uri="{63B3BB69-23CF-44E3-9099-C40C66FF867C}">
                  <a14:compatExt spid="_x0000_s35842"/>
                </a:ext>
                <a:ext uri="{FF2B5EF4-FFF2-40B4-BE49-F238E27FC236}">
                  <a16:creationId xmlns:a16="http://schemas.microsoft.com/office/drawing/2014/main" id="{00000000-0008-0000-0100-00000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25400</xdr:rowOff>
        </xdr:to>
        <xdr:sp macro="" textlink="">
          <xdr:nvSpPr>
            <xdr:cNvPr id="28673" name="FILTER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2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25400</xdr:rowOff>
        </xdr:to>
        <xdr:sp macro="" textlink="">
          <xdr:nvSpPr>
            <xdr:cNvPr id="28674" name="HEADER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2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25400</xdr:rowOff>
        </xdr:to>
        <xdr:sp macro="" textlink="">
          <xdr:nvSpPr>
            <xdr:cNvPr id="22529" name="FILTER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3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25400</xdr:rowOff>
        </xdr:to>
        <xdr:sp macro="" textlink="">
          <xdr:nvSpPr>
            <xdr:cNvPr id="22530" name="HEADER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3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25400</xdr:rowOff>
        </xdr:to>
        <xdr:sp macro="" textlink="">
          <xdr:nvSpPr>
            <xdr:cNvPr id="23553" name="FILTER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4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25400</xdr:rowOff>
        </xdr:to>
        <xdr:sp macro="" textlink="">
          <xdr:nvSpPr>
            <xdr:cNvPr id="23554" name="HEADER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4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25400</xdr:rowOff>
        </xdr:to>
        <xdr:sp macro="" textlink="">
          <xdr:nvSpPr>
            <xdr:cNvPr id="24577" name="FILTER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5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25400</xdr:rowOff>
        </xdr:to>
        <xdr:sp macro="" textlink="">
          <xdr:nvSpPr>
            <xdr:cNvPr id="24578" name="HEADER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id="{00000000-0008-0000-05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25400</xdr:rowOff>
        </xdr:to>
        <xdr:sp macro="" textlink="">
          <xdr:nvSpPr>
            <xdr:cNvPr id="25601" name="FILTER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6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25400</xdr:rowOff>
        </xdr:to>
        <xdr:sp macro="" textlink="">
          <xdr:nvSpPr>
            <xdr:cNvPr id="25602" name="HEADER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6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25400</xdr:rowOff>
        </xdr:to>
        <xdr:sp macro="" textlink="">
          <xdr:nvSpPr>
            <xdr:cNvPr id="26625" name="FILTER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7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25400</xdr:rowOff>
        </xdr:to>
        <xdr:sp macro="" textlink="">
          <xdr:nvSpPr>
            <xdr:cNvPr id="26626" name="HEADER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7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314325</xdr:colOff>
      <xdr:row>28</xdr:row>
      <xdr:rowOff>19050</xdr:rowOff>
    </xdr:to>
    <xdr:pic>
      <xdr:nvPicPr>
        <xdr:cNvPr id="2" name="Picture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58325" cy="455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2.xml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14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4.xml"/><Relationship Id="rId5" Type="http://schemas.openxmlformats.org/officeDocument/2006/relationships/image" Target="../media/image13.emf"/><Relationship Id="rId4" Type="http://schemas.openxmlformats.org/officeDocument/2006/relationships/control" Target="../activeX/activeX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16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6.xml"/><Relationship Id="rId5" Type="http://schemas.openxmlformats.org/officeDocument/2006/relationships/image" Target="../media/image15.emf"/><Relationship Id="rId4" Type="http://schemas.openxmlformats.org/officeDocument/2006/relationships/control" Target="../activeX/activeX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7F9C8-043F-46D8-8D77-63FE9ACDE265}">
  <sheetPr codeName="Sheet6"/>
  <dimension ref="A1:F20"/>
  <sheetViews>
    <sheetView tabSelected="1"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F3" sqref="F3"/>
    </sheetView>
  </sheetViews>
  <sheetFormatPr defaultRowHeight="14.5" x14ac:dyDescent="0.35"/>
  <cols>
    <col min="1" max="4" width="3" style="7" customWidth="1"/>
    <col min="5" max="5" width="43.26953125" style="7" customWidth="1"/>
    <col min="6" max="6" width="39.81640625" style="8" customWidth="1"/>
  </cols>
  <sheetData>
    <row r="1" spans="1:6" ht="15" thickBot="1" x14ac:dyDescent="0.4">
      <c r="A1" s="1"/>
      <c r="B1" s="1"/>
      <c r="C1" s="1"/>
      <c r="D1" s="1"/>
      <c r="E1" s="1"/>
      <c r="F1" s="2"/>
    </row>
    <row r="2" spans="1:6" s="6" customFormat="1" ht="57" customHeight="1" thickTop="1" thickBot="1" x14ac:dyDescent="0.4">
      <c r="A2" s="5"/>
      <c r="B2" s="5"/>
      <c r="C2" s="5"/>
      <c r="D2" s="5"/>
      <c r="E2" s="5"/>
      <c r="F2" s="39" t="s">
        <v>103</v>
      </c>
    </row>
    <row r="3" spans="1:6" ht="15" thickTop="1" x14ac:dyDescent="0.35">
      <c r="A3" s="1"/>
      <c r="B3" s="1" t="s">
        <v>0</v>
      </c>
      <c r="C3" s="1"/>
      <c r="D3" s="1"/>
      <c r="E3" s="1"/>
      <c r="F3" s="3"/>
    </row>
    <row r="4" spans="1:6" x14ac:dyDescent="0.35">
      <c r="A4" s="1"/>
      <c r="B4" s="1"/>
      <c r="C4" s="1" t="s">
        <v>1</v>
      </c>
      <c r="D4" s="1"/>
      <c r="E4" s="1"/>
      <c r="F4" s="3"/>
    </row>
    <row r="5" spans="1:6" x14ac:dyDescent="0.35">
      <c r="A5" s="1"/>
      <c r="B5" s="1"/>
      <c r="C5" s="1"/>
      <c r="D5" s="1" t="s">
        <v>52</v>
      </c>
      <c r="E5" s="1"/>
      <c r="F5" s="3"/>
    </row>
    <row r="6" spans="1:6" ht="19.5" customHeight="1" x14ac:dyDescent="0.35">
      <c r="A6" s="1"/>
      <c r="B6" s="1"/>
      <c r="C6" s="1"/>
      <c r="D6" s="1"/>
      <c r="E6" s="18" t="s">
        <v>53</v>
      </c>
      <c r="F6" s="32">
        <f>SUM('2020-21'!N15+'2019-20'!N16+'2018-19'!N14+'2017-18'!N16+'2016-17'!N15+'2015-16'!N15)/6</f>
        <v>1069808.7050000001</v>
      </c>
    </row>
    <row r="7" spans="1:6" ht="19.5" customHeight="1" thickBot="1" x14ac:dyDescent="0.4">
      <c r="A7" s="1"/>
      <c r="B7" s="1"/>
      <c r="C7" s="1"/>
      <c r="D7" s="1"/>
      <c r="E7" s="18" t="s">
        <v>54</v>
      </c>
      <c r="F7" s="37">
        <f>SUM('2020-21'!N16+'2019-20'!N17+'2018-19'!N15+'2017-18'!N17+'2016-17'!N16+'2015-16'!N16)/6</f>
        <v>425492.95500000002</v>
      </c>
    </row>
    <row r="8" spans="1:6" x14ac:dyDescent="0.35">
      <c r="A8" s="1"/>
      <c r="B8" s="1"/>
      <c r="C8" s="1"/>
      <c r="D8" s="1" t="s">
        <v>55</v>
      </c>
      <c r="E8" s="1"/>
      <c r="F8" s="38">
        <f>SUM(F6:F7)</f>
        <v>1495301.6600000001</v>
      </c>
    </row>
    <row r="9" spans="1:6" ht="25.5" customHeight="1" x14ac:dyDescent="0.35">
      <c r="A9" s="1"/>
      <c r="B9" s="1"/>
      <c r="C9" s="1"/>
      <c r="D9" s="1" t="s">
        <v>56</v>
      </c>
      <c r="E9" s="1"/>
      <c r="F9" s="31"/>
    </row>
    <row r="10" spans="1:6" ht="16.5" customHeight="1" x14ac:dyDescent="0.35">
      <c r="A10" s="1"/>
      <c r="B10" s="1"/>
      <c r="C10" s="1"/>
      <c r="D10" s="1"/>
      <c r="E10" s="18" t="s">
        <v>57</v>
      </c>
      <c r="F10" s="32">
        <f>SUM('2020-21'!N22+'2019-20'!N23+'2018-19'!N20+'2017-18'!N23+'2016-17'!N21+'2015-16'!N22)/6</f>
        <v>450003.9483333333</v>
      </c>
    </row>
    <row r="11" spans="1:6" ht="18.75" customHeight="1" thickBot="1" x14ac:dyDescent="0.4">
      <c r="A11" s="1"/>
      <c r="B11" s="1"/>
      <c r="C11" s="1"/>
      <c r="D11" s="1"/>
      <c r="E11" s="18" t="s">
        <v>58</v>
      </c>
      <c r="F11" s="37">
        <f>SUM('2020-21'!N23+'2019-20'!N24+'2018-19'!N21+'2017-18'!N24+'2016-17'!N22+'2015-16'!N23)/6</f>
        <v>74492.835000000006</v>
      </c>
    </row>
    <row r="12" spans="1:6" x14ac:dyDescent="0.35">
      <c r="A12" s="1"/>
      <c r="B12" s="1"/>
      <c r="C12" s="1"/>
      <c r="D12" s="1" t="s">
        <v>59</v>
      </c>
      <c r="E12" s="1"/>
      <c r="F12" s="38">
        <f>SUM(F10:F11)</f>
        <v>524496.78333333333</v>
      </c>
    </row>
    <row r="13" spans="1:6" x14ac:dyDescent="0.35">
      <c r="A13" s="1"/>
      <c r="B13" s="1"/>
      <c r="C13" s="1"/>
      <c r="D13" s="1"/>
      <c r="E13" s="1"/>
      <c r="F13" s="31"/>
    </row>
    <row r="14" spans="1:6" x14ac:dyDescent="0.35">
      <c r="A14" s="1"/>
      <c r="B14" s="1"/>
      <c r="C14" s="1"/>
      <c r="D14" s="1" t="s">
        <v>60</v>
      </c>
      <c r="E14" s="1"/>
      <c r="F14" s="38">
        <f>SUM(F6,F10)</f>
        <v>1519812.6533333333</v>
      </c>
    </row>
    <row r="15" spans="1:6" x14ac:dyDescent="0.35">
      <c r="A15" s="1"/>
      <c r="B15" s="1"/>
      <c r="C15" s="1"/>
      <c r="D15" s="1" t="s">
        <v>61</v>
      </c>
      <c r="E15" s="1"/>
      <c r="F15" s="38">
        <f>SUM(F7,F11)</f>
        <v>499985.79000000004</v>
      </c>
    </row>
    <row r="16" spans="1:6" x14ac:dyDescent="0.35">
      <c r="A16" s="1"/>
      <c r="B16" s="1"/>
      <c r="C16" s="1"/>
      <c r="D16" s="1"/>
      <c r="E16" s="1"/>
      <c r="F16" s="31"/>
    </row>
    <row r="17" spans="1:6" x14ac:dyDescent="0.35">
      <c r="A17" s="1"/>
      <c r="B17" s="1"/>
      <c r="C17" s="1"/>
      <c r="D17" s="1"/>
      <c r="E17" s="1"/>
      <c r="F17" s="31"/>
    </row>
    <row r="18" spans="1:6" x14ac:dyDescent="0.35">
      <c r="A18" s="1"/>
      <c r="B18" s="1"/>
      <c r="C18" s="1" t="s">
        <v>98</v>
      </c>
      <c r="D18" s="1"/>
      <c r="E18" s="1"/>
      <c r="F18" s="38">
        <f>SUM(F8,F12)</f>
        <v>2019798.4433333334</v>
      </c>
    </row>
    <row r="19" spans="1:6" x14ac:dyDescent="0.35">
      <c r="A19" s="46"/>
      <c r="B19" s="46"/>
      <c r="C19" s="46"/>
      <c r="D19" s="46"/>
      <c r="E19" s="46"/>
      <c r="F19" s="47"/>
    </row>
    <row r="20" spans="1:6" ht="24.75" customHeight="1" x14ac:dyDescent="0.35">
      <c r="C20" s="7" t="s">
        <v>97</v>
      </c>
      <c r="F20" s="38">
        <f>SUM('2011-12'!E35+'2012-13'!E41+'2013-14'!E43+'2014-15'!F32+'2015-16'!F27+'2016-17'!F28+'2017-18'!F30+'2018-19'!F26+'2019-20'!F29+'2020-21'!F26)/10</f>
        <v>2004816.1329999999</v>
      </c>
    </row>
  </sheetData>
  <pageMargins left="0.7" right="0.7" top="0.75" bottom="0.75" header="0.1" footer="0.3"/>
  <pageSetup orientation="portrait" horizontalDpi="4294967295" verticalDpi="4294967295" r:id="rId1"/>
  <headerFooter>
    <oddHeader>&amp;L&amp;"Arial,Bold"&amp;10 12:20 PM
&amp;"Arial,Bold"&amp;10 06/26/19
&amp;"Arial,Bold"&amp;10 Cash Basis&amp;C&amp;"Arial,Bold"&amp;12 Apple Market Order
&amp;"Arial,Bold"&amp;14 Collections Report</oddHeader>
    <oddFooter>&amp;R&amp;"Arial,Bold"&amp;10 Page &amp;P of &amp;N</oddFooter>
  </headerFooter>
  <drawing r:id="rId2"/>
  <legacyDrawing r:id="rId3"/>
  <controls>
    <mc:AlternateContent xmlns:mc="http://schemas.openxmlformats.org/markup-compatibility/2006">
      <mc:Choice Requires="x14">
        <control shapeId="1945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38100</xdr:rowOff>
              </to>
            </anchor>
          </controlPr>
        </control>
      </mc:Choice>
      <mc:Fallback>
        <control shapeId="19457" r:id="rId4" name="FILTER"/>
      </mc:Fallback>
    </mc:AlternateContent>
    <mc:AlternateContent xmlns:mc="http://schemas.openxmlformats.org/markup-compatibility/2006">
      <mc:Choice Requires="x14">
        <control shapeId="1945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38100</xdr:rowOff>
              </to>
            </anchor>
          </controlPr>
        </control>
      </mc:Choice>
      <mc:Fallback>
        <control shapeId="19458" r:id="rId6" name="HEADER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C6B88-3F08-447C-B6DC-709D03AE15B9}">
  <dimension ref="A1:K44"/>
  <sheetViews>
    <sheetView workbookViewId="0">
      <selection activeCell="D41" sqref="D41"/>
    </sheetView>
  </sheetViews>
  <sheetFormatPr defaultRowHeight="14.5" x14ac:dyDescent="0.35"/>
  <cols>
    <col min="5" max="5" width="16.1796875" customWidth="1"/>
    <col min="7" max="7" width="14.26953125" customWidth="1"/>
    <col min="9" max="9" width="16.7265625" customWidth="1"/>
  </cols>
  <sheetData>
    <row r="1" spans="1:11" ht="15.5" thickTop="1" thickBot="1" x14ac:dyDescent="0.4">
      <c r="A1" s="5"/>
      <c r="B1" s="5"/>
      <c r="C1" s="5"/>
      <c r="D1" s="5"/>
      <c r="E1" s="17" t="s">
        <v>93</v>
      </c>
      <c r="F1" s="19"/>
      <c r="G1" s="17" t="s">
        <v>76</v>
      </c>
      <c r="H1" s="19"/>
      <c r="I1" s="17" t="s">
        <v>11</v>
      </c>
      <c r="J1" s="19"/>
      <c r="K1" s="17" t="s">
        <v>12</v>
      </c>
    </row>
    <row r="2" spans="1:11" ht="15" thickTop="1" x14ac:dyDescent="0.35">
      <c r="A2" s="1" t="s">
        <v>0</v>
      </c>
      <c r="B2" s="1"/>
      <c r="C2" s="1"/>
      <c r="D2" s="1"/>
      <c r="E2" s="3"/>
      <c r="F2" s="18"/>
      <c r="G2" s="3"/>
      <c r="H2" s="18"/>
      <c r="I2" s="3"/>
      <c r="J2" s="18"/>
      <c r="K2" s="10"/>
    </row>
    <row r="3" spans="1:11" x14ac:dyDescent="0.35">
      <c r="A3" s="1"/>
      <c r="B3" s="1" t="s">
        <v>1</v>
      </c>
      <c r="C3" s="1"/>
      <c r="D3" s="1"/>
      <c r="E3" s="3"/>
      <c r="F3" s="18"/>
      <c r="G3" s="3"/>
      <c r="H3" s="18"/>
      <c r="I3" s="3"/>
      <c r="J3" s="18"/>
      <c r="K3" s="10"/>
    </row>
    <row r="4" spans="1:11" x14ac:dyDescent="0.35">
      <c r="A4" s="1"/>
      <c r="B4" s="1"/>
      <c r="C4" s="1" t="s">
        <v>2</v>
      </c>
      <c r="D4" s="1"/>
      <c r="E4" s="3"/>
      <c r="F4" s="18"/>
      <c r="G4" s="3"/>
      <c r="H4" s="18"/>
      <c r="I4" s="3"/>
      <c r="J4" s="18"/>
      <c r="K4" s="10"/>
    </row>
    <row r="5" spans="1:11" x14ac:dyDescent="0.35">
      <c r="A5" s="1"/>
      <c r="B5" s="1"/>
      <c r="C5" s="1"/>
      <c r="D5" s="1" t="s">
        <v>47</v>
      </c>
      <c r="E5" s="3">
        <v>796789.87</v>
      </c>
      <c r="F5" s="18"/>
      <c r="G5" s="3">
        <v>0</v>
      </c>
      <c r="H5" s="18"/>
      <c r="I5" s="3">
        <f t="shared" ref="I5:I24" si="0">ROUND((E5-G5),5)</f>
        <v>796789.87</v>
      </c>
      <c r="J5" s="18"/>
      <c r="K5" s="10">
        <f t="shared" ref="K5:K24" si="1">ROUND(IF(E5=0, IF(G5=0, 0, SIGN(-G5)), IF(G5=0, SIGN(E5), (E5-G5)/ABS(G5))),5)</f>
        <v>1</v>
      </c>
    </row>
    <row r="6" spans="1:11" x14ac:dyDescent="0.35">
      <c r="A6" s="1"/>
      <c r="B6" s="1"/>
      <c r="C6" s="1"/>
      <c r="D6" s="1" t="s">
        <v>40</v>
      </c>
      <c r="E6" s="3">
        <v>472303.44</v>
      </c>
      <c r="F6" s="18"/>
      <c r="G6" s="3">
        <v>1099432.73</v>
      </c>
      <c r="H6" s="18"/>
      <c r="I6" s="3">
        <f t="shared" si="0"/>
        <v>-627129.29</v>
      </c>
      <c r="J6" s="18"/>
      <c r="K6" s="10">
        <f t="shared" si="1"/>
        <v>-0.57040999999999997</v>
      </c>
    </row>
    <row r="7" spans="1:11" x14ac:dyDescent="0.35">
      <c r="A7" s="1"/>
      <c r="B7" s="1"/>
      <c r="C7" s="1"/>
      <c r="D7" s="1" t="s">
        <v>41</v>
      </c>
      <c r="E7" s="3">
        <v>24595.38</v>
      </c>
      <c r="F7" s="18"/>
      <c r="G7" s="3">
        <v>0</v>
      </c>
      <c r="H7" s="18"/>
      <c r="I7" s="3">
        <f t="shared" si="0"/>
        <v>24595.38</v>
      </c>
      <c r="J7" s="18"/>
      <c r="K7" s="10">
        <f t="shared" si="1"/>
        <v>1</v>
      </c>
    </row>
    <row r="8" spans="1:11" x14ac:dyDescent="0.35">
      <c r="A8" s="1"/>
      <c r="B8" s="1"/>
      <c r="C8" s="1"/>
      <c r="D8" s="1" t="s">
        <v>36</v>
      </c>
      <c r="E8" s="3">
        <v>10693.97</v>
      </c>
      <c r="F8" s="18"/>
      <c r="G8" s="3">
        <v>41826.42</v>
      </c>
      <c r="H8" s="18"/>
      <c r="I8" s="3">
        <f t="shared" si="0"/>
        <v>-31132.45</v>
      </c>
      <c r="J8" s="18"/>
      <c r="K8" s="10">
        <f t="shared" si="1"/>
        <v>-0.74431999999999998</v>
      </c>
    </row>
    <row r="9" spans="1:11" x14ac:dyDescent="0.35">
      <c r="A9" s="1"/>
      <c r="B9" s="1"/>
      <c r="C9" s="1"/>
      <c r="D9" s="1" t="s">
        <v>78</v>
      </c>
      <c r="E9" s="3">
        <v>3401.49</v>
      </c>
      <c r="F9" s="18"/>
      <c r="G9" s="3">
        <v>3901.78</v>
      </c>
      <c r="H9" s="18"/>
      <c r="I9" s="3">
        <f t="shared" si="0"/>
        <v>-500.29</v>
      </c>
      <c r="J9" s="18"/>
      <c r="K9" s="10">
        <f t="shared" si="1"/>
        <v>-0.12822</v>
      </c>
    </row>
    <row r="10" spans="1:11" x14ac:dyDescent="0.35">
      <c r="A10" s="1"/>
      <c r="B10" s="1"/>
      <c r="C10" s="1"/>
      <c r="D10" s="1" t="s">
        <v>94</v>
      </c>
      <c r="E10" s="3">
        <v>3253.28</v>
      </c>
      <c r="F10" s="18"/>
      <c r="G10" s="3">
        <v>0</v>
      </c>
      <c r="H10" s="18"/>
      <c r="I10" s="3">
        <f t="shared" si="0"/>
        <v>3253.28</v>
      </c>
      <c r="J10" s="18"/>
      <c r="K10" s="10">
        <f t="shared" si="1"/>
        <v>1</v>
      </c>
    </row>
    <row r="11" spans="1:11" x14ac:dyDescent="0.35">
      <c r="A11" s="1"/>
      <c r="B11" s="1"/>
      <c r="C11" s="1"/>
      <c r="D11" s="1" t="s">
        <v>95</v>
      </c>
      <c r="E11" s="3">
        <v>2128</v>
      </c>
      <c r="F11" s="18"/>
      <c r="G11" s="3">
        <v>0</v>
      </c>
      <c r="H11" s="18"/>
      <c r="I11" s="3">
        <f t="shared" si="0"/>
        <v>2128</v>
      </c>
      <c r="J11" s="18"/>
      <c r="K11" s="10">
        <f t="shared" si="1"/>
        <v>1</v>
      </c>
    </row>
    <row r="12" spans="1:11" x14ac:dyDescent="0.35">
      <c r="A12" s="1"/>
      <c r="B12" s="1"/>
      <c r="C12" s="1"/>
      <c r="D12" s="1" t="s">
        <v>80</v>
      </c>
      <c r="E12" s="3">
        <v>1389.65</v>
      </c>
      <c r="F12" s="18"/>
      <c r="G12" s="3">
        <v>2475.5100000000002</v>
      </c>
      <c r="H12" s="18"/>
      <c r="I12" s="3">
        <f t="shared" si="0"/>
        <v>-1085.8599999999999</v>
      </c>
      <c r="J12" s="18"/>
      <c r="K12" s="10">
        <f t="shared" si="1"/>
        <v>-0.43863999999999997</v>
      </c>
    </row>
    <row r="13" spans="1:11" x14ac:dyDescent="0.35">
      <c r="A13" s="1"/>
      <c r="B13" s="1"/>
      <c r="C13" s="1"/>
      <c r="D13" s="1" t="s">
        <v>49</v>
      </c>
      <c r="E13" s="3">
        <v>871.12</v>
      </c>
      <c r="F13" s="18"/>
      <c r="G13" s="3">
        <v>430419.79</v>
      </c>
      <c r="H13" s="18"/>
      <c r="I13" s="3">
        <f t="shared" si="0"/>
        <v>-429548.67</v>
      </c>
      <c r="J13" s="18"/>
      <c r="K13" s="10">
        <f t="shared" si="1"/>
        <v>-0.99797999999999998</v>
      </c>
    </row>
    <row r="14" spans="1:11" x14ac:dyDescent="0.35">
      <c r="A14" s="1"/>
      <c r="B14" s="1"/>
      <c r="C14" s="1"/>
      <c r="D14" s="1" t="s">
        <v>81</v>
      </c>
      <c r="E14" s="3">
        <v>682.32</v>
      </c>
      <c r="F14" s="18"/>
      <c r="G14" s="3">
        <v>67.12</v>
      </c>
      <c r="H14" s="18"/>
      <c r="I14" s="3">
        <f t="shared" si="0"/>
        <v>615.20000000000005</v>
      </c>
      <c r="J14" s="18"/>
      <c r="K14" s="10">
        <f t="shared" si="1"/>
        <v>9.1656700000000004</v>
      </c>
    </row>
    <row r="15" spans="1:11" x14ac:dyDescent="0.35">
      <c r="A15" s="1"/>
      <c r="B15" s="1"/>
      <c r="C15" s="1"/>
      <c r="D15" s="1" t="s">
        <v>50</v>
      </c>
      <c r="E15" s="3">
        <v>577.27</v>
      </c>
      <c r="F15" s="18"/>
      <c r="G15" s="3">
        <v>1880.49</v>
      </c>
      <c r="H15" s="18"/>
      <c r="I15" s="3">
        <f t="shared" si="0"/>
        <v>-1303.22</v>
      </c>
      <c r="J15" s="18"/>
      <c r="K15" s="10">
        <f t="shared" si="1"/>
        <v>-0.69301999999999997</v>
      </c>
    </row>
    <row r="16" spans="1:11" x14ac:dyDescent="0.35">
      <c r="A16" s="1"/>
      <c r="B16" s="1"/>
      <c r="C16" s="1"/>
      <c r="D16" s="1" t="s">
        <v>83</v>
      </c>
      <c r="E16" s="3">
        <v>356.33</v>
      </c>
      <c r="F16" s="18"/>
      <c r="G16" s="3">
        <v>40.79</v>
      </c>
      <c r="H16" s="18"/>
      <c r="I16" s="3">
        <f t="shared" si="0"/>
        <v>315.54000000000002</v>
      </c>
      <c r="J16" s="18"/>
      <c r="K16" s="10">
        <f t="shared" si="1"/>
        <v>7.7357199999999997</v>
      </c>
    </row>
    <row r="17" spans="1:11" x14ac:dyDescent="0.35">
      <c r="A17" s="1"/>
      <c r="B17" s="1"/>
      <c r="C17" s="1"/>
      <c r="D17" s="1" t="s">
        <v>48</v>
      </c>
      <c r="E17" s="3">
        <v>216.76</v>
      </c>
      <c r="F17" s="18"/>
      <c r="G17" s="3">
        <v>14428.13</v>
      </c>
      <c r="H17" s="18"/>
      <c r="I17" s="3">
        <f t="shared" si="0"/>
        <v>-14211.37</v>
      </c>
      <c r="J17" s="18"/>
      <c r="K17" s="10">
        <f t="shared" si="1"/>
        <v>-0.98497999999999997</v>
      </c>
    </row>
    <row r="18" spans="1:11" x14ac:dyDescent="0.35">
      <c r="A18" s="1"/>
      <c r="B18" s="1"/>
      <c r="C18" s="1"/>
      <c r="D18" s="1" t="s">
        <v>84</v>
      </c>
      <c r="E18" s="3">
        <v>66.27</v>
      </c>
      <c r="F18" s="18"/>
      <c r="G18" s="3">
        <v>7.57</v>
      </c>
      <c r="H18" s="18"/>
      <c r="I18" s="3">
        <f t="shared" si="0"/>
        <v>58.7</v>
      </c>
      <c r="J18" s="18"/>
      <c r="K18" s="10">
        <f t="shared" si="1"/>
        <v>7.7542900000000001</v>
      </c>
    </row>
    <row r="19" spans="1:11" x14ac:dyDescent="0.35">
      <c r="A19" s="1"/>
      <c r="B19" s="1"/>
      <c r="C19" s="1"/>
      <c r="D19" s="1" t="s">
        <v>87</v>
      </c>
      <c r="E19" s="3">
        <v>47.37</v>
      </c>
      <c r="F19" s="18"/>
      <c r="G19" s="3">
        <v>-479.13</v>
      </c>
      <c r="H19" s="18"/>
      <c r="I19" s="3">
        <f t="shared" si="0"/>
        <v>526.5</v>
      </c>
      <c r="J19" s="18"/>
      <c r="K19" s="10">
        <f t="shared" si="1"/>
        <v>1.09887</v>
      </c>
    </row>
    <row r="20" spans="1:11" x14ac:dyDescent="0.35">
      <c r="A20" s="1"/>
      <c r="B20" s="1"/>
      <c r="C20" s="1"/>
      <c r="D20" s="1" t="s">
        <v>82</v>
      </c>
      <c r="E20" s="3">
        <v>47.02</v>
      </c>
      <c r="F20" s="18"/>
      <c r="G20" s="3">
        <v>47.06</v>
      </c>
      <c r="H20" s="18"/>
      <c r="I20" s="3">
        <f t="shared" si="0"/>
        <v>-0.04</v>
      </c>
      <c r="J20" s="18"/>
      <c r="K20" s="10">
        <f t="shared" si="1"/>
        <v>-8.4999999999999995E-4</v>
      </c>
    </row>
    <row r="21" spans="1:11" x14ac:dyDescent="0.35">
      <c r="A21" s="1"/>
      <c r="B21" s="1"/>
      <c r="C21" s="1"/>
      <c r="D21" s="1" t="s">
        <v>85</v>
      </c>
      <c r="E21" s="3">
        <v>39.979999999999997</v>
      </c>
      <c r="F21" s="18"/>
      <c r="G21" s="3">
        <v>4.58</v>
      </c>
      <c r="H21" s="18"/>
      <c r="I21" s="3">
        <f t="shared" si="0"/>
        <v>35.4</v>
      </c>
      <c r="J21" s="18"/>
      <c r="K21" s="10">
        <f t="shared" si="1"/>
        <v>7.72926</v>
      </c>
    </row>
    <row r="22" spans="1:11" x14ac:dyDescent="0.35">
      <c r="A22" s="1"/>
      <c r="B22" s="1"/>
      <c r="C22" s="1"/>
      <c r="D22" s="1" t="s">
        <v>86</v>
      </c>
      <c r="E22" s="3">
        <v>38.340000000000003</v>
      </c>
      <c r="F22" s="18"/>
      <c r="G22" s="3">
        <v>4.38</v>
      </c>
      <c r="H22" s="18"/>
      <c r="I22" s="3">
        <f t="shared" si="0"/>
        <v>33.96</v>
      </c>
      <c r="J22" s="18"/>
      <c r="K22" s="10">
        <f t="shared" si="1"/>
        <v>7.7534200000000002</v>
      </c>
    </row>
    <row r="23" spans="1:11" ht="15" thickBot="1" x14ac:dyDescent="0.4">
      <c r="A23" s="1"/>
      <c r="B23" s="1"/>
      <c r="C23" s="1"/>
      <c r="D23" s="1" t="s">
        <v>79</v>
      </c>
      <c r="E23" s="4">
        <v>0</v>
      </c>
      <c r="F23" s="18"/>
      <c r="G23" s="4">
        <v>3382.4</v>
      </c>
      <c r="H23" s="18"/>
      <c r="I23" s="4">
        <f t="shared" si="0"/>
        <v>-3382.4</v>
      </c>
      <c r="J23" s="18"/>
      <c r="K23" s="11">
        <f t="shared" si="1"/>
        <v>-1</v>
      </c>
    </row>
    <row r="24" spans="1:11" x14ac:dyDescent="0.35">
      <c r="A24" s="1"/>
      <c r="B24" s="1"/>
      <c r="C24" s="1" t="s">
        <v>3</v>
      </c>
      <c r="D24" s="1"/>
      <c r="E24" s="3">
        <f>ROUND(E4+E7+SUM(E5:E6)+E8+E17+E13+E12+E9+E19+E23+E15+E20+E22+E14+E16+E21+E18+SUM(E10:E11),5)</f>
        <v>1317497.8600000001</v>
      </c>
      <c r="F24" s="18"/>
      <c r="G24" s="3">
        <f>ROUND(G4+G7+SUM(G5:G6)+G8+G17+G13+G12+G9+G19+G23+G15+G20+G22+G14+G16+G21+G18+SUM(G10:G11),5)</f>
        <v>1597439.62</v>
      </c>
      <c r="H24" s="18"/>
      <c r="I24" s="3">
        <f t="shared" si="0"/>
        <v>-279941.76000000001</v>
      </c>
      <c r="J24" s="18"/>
      <c r="K24" s="10">
        <f t="shared" si="1"/>
        <v>-0.17524000000000001</v>
      </c>
    </row>
    <row r="25" spans="1:11" x14ac:dyDescent="0.35">
      <c r="A25" s="1"/>
      <c r="B25" s="1"/>
      <c r="C25" s="1" t="s">
        <v>4</v>
      </c>
      <c r="D25" s="1"/>
      <c r="E25" s="3"/>
      <c r="F25" s="18"/>
      <c r="G25" s="3"/>
      <c r="H25" s="18"/>
      <c r="I25" s="3"/>
      <c r="J25" s="18"/>
      <c r="K25" s="10"/>
    </row>
    <row r="26" spans="1:11" x14ac:dyDescent="0.35">
      <c r="A26" s="1"/>
      <c r="B26" s="1"/>
      <c r="C26" s="1"/>
      <c r="D26" s="1" t="s">
        <v>39</v>
      </c>
      <c r="E26" s="3">
        <v>291781.05</v>
      </c>
      <c r="F26" s="18"/>
      <c r="G26" s="3">
        <v>0</v>
      </c>
      <c r="H26" s="18"/>
      <c r="I26" s="3">
        <f t="shared" ref="I26:I43" si="2">ROUND((E26-G26),5)</f>
        <v>291781.05</v>
      </c>
      <c r="J26" s="18"/>
      <c r="K26" s="10">
        <f t="shared" ref="K26:K43" si="3">ROUND(IF(E26=0, IF(G26=0, 0, SIGN(-G26)), IF(G26=0, SIGN(E26), (E26-G26)/ABS(G26))),5)</f>
        <v>1</v>
      </c>
    </row>
    <row r="27" spans="1:11" x14ac:dyDescent="0.35">
      <c r="A27" s="1"/>
      <c r="B27" s="1"/>
      <c r="C27" s="1"/>
      <c r="D27" s="1" t="s">
        <v>38</v>
      </c>
      <c r="E27" s="3">
        <v>84344.56</v>
      </c>
      <c r="F27" s="18"/>
      <c r="G27" s="3">
        <v>467447.58</v>
      </c>
      <c r="H27" s="18"/>
      <c r="I27" s="3">
        <f t="shared" si="2"/>
        <v>-383103.02</v>
      </c>
      <c r="J27" s="18"/>
      <c r="K27" s="10">
        <f t="shared" si="3"/>
        <v>-0.81955999999999996</v>
      </c>
    </row>
    <row r="28" spans="1:11" x14ac:dyDescent="0.35">
      <c r="A28" s="1"/>
      <c r="B28" s="1"/>
      <c r="C28" s="1"/>
      <c r="D28" s="1" t="s">
        <v>90</v>
      </c>
      <c r="E28" s="3">
        <v>3333.79</v>
      </c>
      <c r="F28" s="18"/>
      <c r="G28" s="3">
        <v>668.1</v>
      </c>
      <c r="H28" s="18"/>
      <c r="I28" s="3">
        <f t="shared" si="2"/>
        <v>2665.69</v>
      </c>
      <c r="J28" s="18"/>
      <c r="K28" s="10">
        <f t="shared" si="3"/>
        <v>3.98996</v>
      </c>
    </row>
    <row r="29" spans="1:11" x14ac:dyDescent="0.35">
      <c r="A29" s="1"/>
      <c r="B29" s="1"/>
      <c r="C29" s="1"/>
      <c r="D29" s="1" t="s">
        <v>96</v>
      </c>
      <c r="E29" s="3">
        <v>3167.46</v>
      </c>
      <c r="F29" s="18"/>
      <c r="G29" s="3">
        <v>0</v>
      </c>
      <c r="H29" s="18"/>
      <c r="I29" s="3">
        <f t="shared" si="2"/>
        <v>3167.46</v>
      </c>
      <c r="J29" s="18"/>
      <c r="K29" s="10">
        <f t="shared" si="3"/>
        <v>1</v>
      </c>
    </row>
    <row r="30" spans="1:11" x14ac:dyDescent="0.35">
      <c r="A30" s="1"/>
      <c r="B30" s="1"/>
      <c r="C30" s="1"/>
      <c r="D30" s="1" t="s">
        <v>88</v>
      </c>
      <c r="E30" s="3">
        <v>182.69</v>
      </c>
      <c r="F30" s="18"/>
      <c r="G30" s="3">
        <v>2416.23</v>
      </c>
      <c r="H30" s="18"/>
      <c r="I30" s="3">
        <f t="shared" si="2"/>
        <v>-2233.54</v>
      </c>
      <c r="J30" s="18"/>
      <c r="K30" s="10">
        <f t="shared" si="3"/>
        <v>-0.92439000000000004</v>
      </c>
    </row>
    <row r="31" spans="1:11" x14ac:dyDescent="0.35">
      <c r="A31" s="1"/>
      <c r="B31" s="1"/>
      <c r="C31" s="1"/>
      <c r="D31" s="1" t="s">
        <v>91</v>
      </c>
      <c r="E31" s="3">
        <v>82.04</v>
      </c>
      <c r="F31" s="18"/>
      <c r="G31" s="3">
        <v>9.39</v>
      </c>
      <c r="H31" s="18"/>
      <c r="I31" s="3">
        <f t="shared" si="2"/>
        <v>72.650000000000006</v>
      </c>
      <c r="J31" s="18"/>
      <c r="K31" s="10">
        <f t="shared" si="3"/>
        <v>7.7369500000000002</v>
      </c>
    </row>
    <row r="32" spans="1:11" x14ac:dyDescent="0.35">
      <c r="A32" s="1"/>
      <c r="B32" s="1"/>
      <c r="C32" s="1"/>
      <c r="D32" s="1" t="s">
        <v>45</v>
      </c>
      <c r="E32" s="3">
        <v>30.29</v>
      </c>
      <c r="F32" s="18"/>
      <c r="G32" s="3">
        <v>2133.0700000000002</v>
      </c>
      <c r="H32" s="18"/>
      <c r="I32" s="3">
        <f t="shared" si="2"/>
        <v>-2102.7800000000002</v>
      </c>
      <c r="J32" s="18"/>
      <c r="K32" s="10">
        <f t="shared" si="3"/>
        <v>-0.98580000000000001</v>
      </c>
    </row>
    <row r="33" spans="1:11" x14ac:dyDescent="0.35">
      <c r="A33" s="1"/>
      <c r="B33" s="1"/>
      <c r="C33" s="1"/>
      <c r="D33" s="1" t="s">
        <v>92</v>
      </c>
      <c r="E33" s="3">
        <v>18.690000000000001</v>
      </c>
      <c r="F33" s="18"/>
      <c r="G33" s="3">
        <v>2.14</v>
      </c>
      <c r="H33" s="18"/>
      <c r="I33" s="3">
        <f t="shared" si="2"/>
        <v>16.55</v>
      </c>
      <c r="J33" s="18"/>
      <c r="K33" s="10">
        <f t="shared" si="3"/>
        <v>7.7336400000000003</v>
      </c>
    </row>
    <row r="34" spans="1:11" x14ac:dyDescent="0.35">
      <c r="A34" s="1"/>
      <c r="B34" s="1"/>
      <c r="C34" s="1"/>
      <c r="D34" s="1" t="s">
        <v>89</v>
      </c>
      <c r="E34" s="3">
        <v>-413.02</v>
      </c>
      <c r="F34" s="18"/>
      <c r="G34" s="3">
        <v>1051.77</v>
      </c>
      <c r="H34" s="18"/>
      <c r="I34" s="3">
        <f t="shared" si="2"/>
        <v>-1464.79</v>
      </c>
      <c r="J34" s="18"/>
      <c r="K34" s="10">
        <f t="shared" si="3"/>
        <v>-1.39269</v>
      </c>
    </row>
    <row r="35" spans="1:11" ht="15" thickBot="1" x14ac:dyDescent="0.4">
      <c r="A35" s="1"/>
      <c r="B35" s="1"/>
      <c r="C35" s="1"/>
      <c r="D35" s="1" t="s">
        <v>46</v>
      </c>
      <c r="E35" s="3">
        <v>-2268.7199999999998</v>
      </c>
      <c r="F35" s="18"/>
      <c r="G35" s="3">
        <v>68859.48</v>
      </c>
      <c r="H35" s="18"/>
      <c r="I35" s="3">
        <f t="shared" si="2"/>
        <v>-71128.2</v>
      </c>
      <c r="J35" s="18"/>
      <c r="K35" s="10">
        <f t="shared" si="3"/>
        <v>-1.03295</v>
      </c>
    </row>
    <row r="36" spans="1:11" ht="15" thickBot="1" x14ac:dyDescent="0.4">
      <c r="A36" s="1"/>
      <c r="B36" s="1"/>
      <c r="C36" s="1" t="s">
        <v>5</v>
      </c>
      <c r="D36" s="1"/>
      <c r="E36" s="21">
        <f>ROUND(SUM(E25:E27)+E35+E34+E30+E32+E31+E33+SUM(E28:E29),5)</f>
        <v>380258.83</v>
      </c>
      <c r="F36" s="18"/>
      <c r="G36" s="21">
        <f>ROUND(SUM(G25:G27)+G35+G34+G30+G32+G31+G33+SUM(G28:G29),5)</f>
        <v>542587.76</v>
      </c>
      <c r="H36" s="18"/>
      <c r="I36" s="21">
        <f t="shared" si="2"/>
        <v>-162328.93</v>
      </c>
      <c r="J36" s="18"/>
      <c r="K36" s="20">
        <f t="shared" si="3"/>
        <v>-0.29918</v>
      </c>
    </row>
    <row r="37" spans="1:11" x14ac:dyDescent="0.35">
      <c r="A37" s="1"/>
      <c r="B37" s="1" t="s">
        <v>6</v>
      </c>
      <c r="C37" s="1"/>
      <c r="D37" s="1"/>
      <c r="E37" s="3">
        <f>ROUND(E3+E24+E36,5)</f>
        <v>1697756.69</v>
      </c>
      <c r="F37" s="18"/>
      <c r="G37" s="3">
        <f>ROUND(G3+G24+G36,5)</f>
        <v>2140027.38</v>
      </c>
      <c r="H37" s="18"/>
      <c r="I37" s="3">
        <f t="shared" si="2"/>
        <v>-442270.69</v>
      </c>
      <c r="J37" s="18"/>
      <c r="K37" s="10">
        <f t="shared" si="3"/>
        <v>-0.20666999999999999</v>
      </c>
    </row>
    <row r="38" spans="1:11" x14ac:dyDescent="0.35">
      <c r="A38" s="1"/>
      <c r="B38" s="1" t="s">
        <v>7</v>
      </c>
      <c r="C38" s="1"/>
      <c r="D38" s="1"/>
      <c r="E38" s="3">
        <v>1750.66</v>
      </c>
      <c r="F38" s="18"/>
      <c r="G38" s="3">
        <v>689.35</v>
      </c>
      <c r="H38" s="18"/>
      <c r="I38" s="3">
        <f t="shared" si="2"/>
        <v>1061.31</v>
      </c>
      <c r="J38" s="18"/>
      <c r="K38" s="10">
        <f t="shared" si="3"/>
        <v>1.5395799999999999</v>
      </c>
    </row>
    <row r="39" spans="1:11" x14ac:dyDescent="0.35">
      <c r="A39" s="1"/>
      <c r="B39" s="1" t="s">
        <v>43</v>
      </c>
      <c r="C39" s="1"/>
      <c r="D39" s="1"/>
      <c r="E39" s="3">
        <v>1491.1</v>
      </c>
      <c r="F39" s="18"/>
      <c r="G39" s="3">
        <v>430.84</v>
      </c>
      <c r="H39" s="18"/>
      <c r="I39" s="3">
        <f t="shared" si="2"/>
        <v>1060.26</v>
      </c>
      <c r="J39" s="18"/>
      <c r="K39" s="10">
        <f t="shared" si="3"/>
        <v>2.4609100000000002</v>
      </c>
    </row>
    <row r="40" spans="1:11" ht="15" thickBot="1" x14ac:dyDescent="0.4">
      <c r="A40" s="1"/>
      <c r="B40" s="1" t="s">
        <v>44</v>
      </c>
      <c r="C40" s="1"/>
      <c r="D40" s="1"/>
      <c r="E40" s="4">
        <v>10</v>
      </c>
      <c r="F40" s="18"/>
      <c r="G40" s="4">
        <v>30</v>
      </c>
      <c r="H40" s="18"/>
      <c r="I40" s="4">
        <f t="shared" si="2"/>
        <v>-20</v>
      </c>
      <c r="J40" s="18"/>
      <c r="K40" s="11">
        <f t="shared" si="3"/>
        <v>-0.66666999999999998</v>
      </c>
    </row>
    <row r="41" spans="1:11" x14ac:dyDescent="0.35">
      <c r="A41" s="1" t="s">
        <v>8</v>
      </c>
      <c r="B41" s="1"/>
      <c r="C41" s="1"/>
      <c r="D41" s="1"/>
      <c r="E41" s="44">
        <f>ROUND(E2+SUM(E37:E40),5)</f>
        <v>1701008.45</v>
      </c>
      <c r="F41" s="18"/>
      <c r="G41" s="3">
        <f>ROUND(G2+SUM(G37:G40),5)</f>
        <v>2141177.5699999998</v>
      </c>
      <c r="H41" s="18"/>
      <c r="I41" s="3">
        <f t="shared" si="2"/>
        <v>-440169.12</v>
      </c>
      <c r="J41" s="18"/>
      <c r="K41" s="10">
        <f t="shared" si="3"/>
        <v>-0.20557</v>
      </c>
    </row>
    <row r="42" spans="1:11" ht="15" thickBot="1" x14ac:dyDescent="0.4">
      <c r="A42" s="1" t="s">
        <v>30</v>
      </c>
      <c r="B42" s="1"/>
      <c r="C42" s="1"/>
      <c r="D42" s="1"/>
      <c r="E42" s="3">
        <v>0</v>
      </c>
      <c r="F42" s="18"/>
      <c r="G42" s="3">
        <v>0</v>
      </c>
      <c r="H42" s="18"/>
      <c r="I42" s="3">
        <f t="shared" si="2"/>
        <v>0</v>
      </c>
      <c r="J42" s="18"/>
      <c r="K42" s="10">
        <f t="shared" si="3"/>
        <v>0</v>
      </c>
    </row>
    <row r="43" spans="1:11" ht="15" thickBot="1" x14ac:dyDescent="0.4">
      <c r="A43" s="1"/>
      <c r="B43" s="1"/>
      <c r="C43" s="1"/>
      <c r="D43" s="1"/>
      <c r="E43" s="45">
        <f>ROUND(E41-E42,5)</f>
        <v>1701008.45</v>
      </c>
      <c r="F43" s="1"/>
      <c r="G43" s="14">
        <f>ROUND(G41-G42,5)</f>
        <v>2141177.5699999998</v>
      </c>
      <c r="H43" s="1"/>
      <c r="I43" s="14">
        <f t="shared" si="2"/>
        <v>-440169.12</v>
      </c>
      <c r="J43" s="1"/>
      <c r="K43" s="15">
        <f t="shared" si="3"/>
        <v>-0.20557</v>
      </c>
    </row>
    <row r="44" spans="1:11" ht="15" thickTop="1" x14ac:dyDescent="0.3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55C3B-E6AB-4568-9825-D48119ECE2E0}">
  <dimension ref="A1:K37"/>
  <sheetViews>
    <sheetView workbookViewId="0">
      <selection activeCell="E37" sqref="E37"/>
    </sheetView>
  </sheetViews>
  <sheetFormatPr defaultRowHeight="14.5" x14ac:dyDescent="0.35"/>
  <cols>
    <col min="1" max="1" width="4.453125" customWidth="1"/>
    <col min="2" max="2" width="3.54296875" customWidth="1"/>
    <col min="4" max="4" width="21" customWidth="1"/>
    <col min="5" max="5" width="14.26953125" bestFit="1" customWidth="1"/>
  </cols>
  <sheetData>
    <row r="1" spans="1:11" x14ac:dyDescent="0.35">
      <c r="E1" s="40" t="s">
        <v>76</v>
      </c>
      <c r="F1" s="40"/>
      <c r="G1" s="40" t="s">
        <v>77</v>
      </c>
      <c r="H1" s="40"/>
      <c r="I1" s="40" t="s">
        <v>11</v>
      </c>
      <c r="J1" s="40"/>
      <c r="K1" s="40" t="s">
        <v>12</v>
      </c>
    </row>
    <row r="2" spans="1:11" x14ac:dyDescent="0.35">
      <c r="A2" t="s">
        <v>0</v>
      </c>
    </row>
    <row r="3" spans="1:11" x14ac:dyDescent="0.35">
      <c r="B3" t="s">
        <v>1</v>
      </c>
    </row>
    <row r="4" spans="1:11" x14ac:dyDescent="0.35">
      <c r="C4" t="s">
        <v>2</v>
      </c>
    </row>
    <row r="5" spans="1:11" x14ac:dyDescent="0.35">
      <c r="D5" t="s">
        <v>40</v>
      </c>
      <c r="E5">
        <v>1099432.73</v>
      </c>
      <c r="G5">
        <v>0</v>
      </c>
      <c r="I5">
        <v>1099432.73</v>
      </c>
      <c r="K5">
        <v>1</v>
      </c>
    </row>
    <row r="6" spans="1:11" x14ac:dyDescent="0.35">
      <c r="D6" t="s">
        <v>49</v>
      </c>
      <c r="E6">
        <v>430419.79</v>
      </c>
      <c r="G6">
        <v>1033354.09</v>
      </c>
      <c r="I6">
        <v>-602934.30000000005</v>
      </c>
      <c r="K6">
        <v>-0.58347000000000004</v>
      </c>
    </row>
    <row r="7" spans="1:11" x14ac:dyDescent="0.35">
      <c r="D7" t="s">
        <v>36</v>
      </c>
      <c r="E7">
        <v>41826.42</v>
      </c>
      <c r="G7">
        <v>0</v>
      </c>
      <c r="I7">
        <v>41826.42</v>
      </c>
      <c r="K7">
        <v>1</v>
      </c>
    </row>
    <row r="8" spans="1:11" x14ac:dyDescent="0.35">
      <c r="D8" t="s">
        <v>48</v>
      </c>
      <c r="E8">
        <v>14428.13</v>
      </c>
      <c r="G8">
        <v>35870.42</v>
      </c>
      <c r="I8">
        <v>-21442.29</v>
      </c>
      <c r="K8">
        <v>-0.59777000000000002</v>
      </c>
    </row>
    <row r="9" spans="1:11" x14ac:dyDescent="0.35">
      <c r="D9" t="s">
        <v>78</v>
      </c>
      <c r="E9">
        <v>3901.78</v>
      </c>
      <c r="G9">
        <v>589566</v>
      </c>
      <c r="I9">
        <v>-585664.22</v>
      </c>
      <c r="K9">
        <v>-0.99338000000000004</v>
      </c>
    </row>
    <row r="10" spans="1:11" x14ac:dyDescent="0.35">
      <c r="D10" t="s">
        <v>79</v>
      </c>
      <c r="E10">
        <v>3382.4</v>
      </c>
      <c r="G10">
        <v>6118.07</v>
      </c>
      <c r="I10">
        <v>-2735.67</v>
      </c>
      <c r="K10">
        <v>-0.44714999999999999</v>
      </c>
    </row>
    <row r="11" spans="1:11" x14ac:dyDescent="0.35">
      <c r="D11" t="s">
        <v>80</v>
      </c>
      <c r="E11">
        <v>2475.5100000000002</v>
      </c>
      <c r="G11">
        <v>15678.45</v>
      </c>
      <c r="I11">
        <v>-13202.94</v>
      </c>
      <c r="K11">
        <v>-0.84211000000000003</v>
      </c>
    </row>
    <row r="12" spans="1:11" x14ac:dyDescent="0.35">
      <c r="D12" t="s">
        <v>50</v>
      </c>
      <c r="E12">
        <v>1880.49</v>
      </c>
      <c r="G12">
        <v>839.27</v>
      </c>
      <c r="I12">
        <v>1041.22</v>
      </c>
      <c r="K12">
        <v>1.2406299999999999</v>
      </c>
    </row>
    <row r="13" spans="1:11" x14ac:dyDescent="0.35">
      <c r="D13" t="s">
        <v>81</v>
      </c>
      <c r="E13">
        <v>67.12</v>
      </c>
      <c r="G13">
        <v>-61.85</v>
      </c>
      <c r="I13">
        <v>128.97</v>
      </c>
      <c r="K13">
        <v>2.08521</v>
      </c>
    </row>
    <row r="14" spans="1:11" x14ac:dyDescent="0.35">
      <c r="D14" t="s">
        <v>82</v>
      </c>
      <c r="E14">
        <v>47.06</v>
      </c>
      <c r="G14">
        <v>190.72</v>
      </c>
      <c r="I14">
        <v>-143.66</v>
      </c>
      <c r="K14">
        <v>-0.75324999999999998</v>
      </c>
    </row>
    <row r="15" spans="1:11" x14ac:dyDescent="0.35">
      <c r="D15" t="s">
        <v>83</v>
      </c>
      <c r="E15">
        <v>40.79</v>
      </c>
      <c r="G15">
        <v>0</v>
      </c>
      <c r="I15">
        <v>40.79</v>
      </c>
      <c r="K15">
        <v>1</v>
      </c>
    </row>
    <row r="16" spans="1:11" x14ac:dyDescent="0.35">
      <c r="D16" t="s">
        <v>84</v>
      </c>
      <c r="E16">
        <v>7.57</v>
      </c>
      <c r="G16">
        <v>0</v>
      </c>
      <c r="I16">
        <v>7.57</v>
      </c>
      <c r="K16">
        <v>1</v>
      </c>
    </row>
    <row r="17" spans="2:11" x14ac:dyDescent="0.35">
      <c r="D17" t="s">
        <v>85</v>
      </c>
      <c r="E17">
        <v>4.58</v>
      </c>
      <c r="G17">
        <v>0</v>
      </c>
      <c r="I17">
        <v>4.58</v>
      </c>
      <c r="K17">
        <v>1</v>
      </c>
    </row>
    <row r="18" spans="2:11" x14ac:dyDescent="0.35">
      <c r="D18" t="s">
        <v>86</v>
      </c>
      <c r="E18">
        <v>4.38</v>
      </c>
      <c r="G18">
        <v>168</v>
      </c>
      <c r="I18">
        <v>-163.62</v>
      </c>
      <c r="K18">
        <v>-0.97392999999999996</v>
      </c>
    </row>
    <row r="19" spans="2:11" x14ac:dyDescent="0.35">
      <c r="D19" t="s">
        <v>87</v>
      </c>
      <c r="E19">
        <v>-479.13</v>
      </c>
      <c r="G19">
        <v>525.91999999999996</v>
      </c>
      <c r="I19">
        <v>-1005.05</v>
      </c>
      <c r="K19">
        <v>-1.91103</v>
      </c>
    </row>
    <row r="20" spans="2:11" x14ac:dyDescent="0.35">
      <c r="C20" t="s">
        <v>3</v>
      </c>
      <c r="E20">
        <v>1597439.62</v>
      </c>
      <c r="G20">
        <v>1682249.09</v>
      </c>
      <c r="I20">
        <v>-84809.47</v>
      </c>
      <c r="K20">
        <v>-5.0410000000000003E-2</v>
      </c>
    </row>
    <row r="21" spans="2:11" x14ac:dyDescent="0.35">
      <c r="C21" t="s">
        <v>4</v>
      </c>
    </row>
    <row r="22" spans="2:11" x14ac:dyDescent="0.35">
      <c r="D22" t="s">
        <v>38</v>
      </c>
      <c r="E22">
        <v>467447.58</v>
      </c>
      <c r="G22">
        <v>0</v>
      </c>
      <c r="I22">
        <v>467447.58</v>
      </c>
      <c r="K22">
        <v>1</v>
      </c>
    </row>
    <row r="23" spans="2:11" x14ac:dyDescent="0.35">
      <c r="D23" t="s">
        <v>46</v>
      </c>
      <c r="E23">
        <v>68859.48</v>
      </c>
      <c r="G23">
        <v>503983.87</v>
      </c>
      <c r="I23">
        <v>-435124.39</v>
      </c>
      <c r="K23">
        <v>-0.86336999999999997</v>
      </c>
    </row>
    <row r="24" spans="2:11" x14ac:dyDescent="0.35">
      <c r="D24" t="s">
        <v>88</v>
      </c>
      <c r="E24">
        <v>2416.23</v>
      </c>
      <c r="G24">
        <v>11979.32</v>
      </c>
      <c r="I24">
        <v>-9563.09</v>
      </c>
      <c r="K24">
        <v>-0.79830000000000001</v>
      </c>
    </row>
    <row r="25" spans="2:11" x14ac:dyDescent="0.35">
      <c r="D25" t="s">
        <v>45</v>
      </c>
      <c r="E25">
        <v>2133.0700000000002</v>
      </c>
      <c r="G25">
        <v>403.92</v>
      </c>
      <c r="I25">
        <v>1729.15</v>
      </c>
      <c r="K25">
        <v>4.2809200000000001</v>
      </c>
    </row>
    <row r="26" spans="2:11" x14ac:dyDescent="0.35">
      <c r="D26" t="s">
        <v>89</v>
      </c>
      <c r="E26">
        <v>1051.77</v>
      </c>
      <c r="G26">
        <v>100388.41</v>
      </c>
      <c r="I26">
        <v>-99336.639999999999</v>
      </c>
      <c r="K26">
        <v>-0.98951999999999996</v>
      </c>
    </row>
    <row r="27" spans="2:11" x14ac:dyDescent="0.35">
      <c r="D27" t="s">
        <v>90</v>
      </c>
      <c r="E27">
        <v>668.1</v>
      </c>
      <c r="G27">
        <v>0</v>
      </c>
      <c r="I27">
        <v>668.1</v>
      </c>
      <c r="K27">
        <v>1</v>
      </c>
    </row>
    <row r="28" spans="2:11" x14ac:dyDescent="0.35">
      <c r="D28" t="s">
        <v>91</v>
      </c>
      <c r="E28">
        <v>9.39</v>
      </c>
      <c r="G28">
        <v>662.81</v>
      </c>
      <c r="I28">
        <v>-653.41999999999996</v>
      </c>
      <c r="K28">
        <v>-0.98582999999999998</v>
      </c>
    </row>
    <row r="29" spans="2:11" x14ac:dyDescent="0.35">
      <c r="D29" t="s">
        <v>92</v>
      </c>
      <c r="E29">
        <v>2.14</v>
      </c>
      <c r="G29">
        <v>0</v>
      </c>
      <c r="I29">
        <v>2.14</v>
      </c>
      <c r="K29">
        <v>1</v>
      </c>
    </row>
    <row r="30" spans="2:11" x14ac:dyDescent="0.35">
      <c r="C30" t="s">
        <v>5</v>
      </c>
      <c r="E30">
        <v>542587.76</v>
      </c>
      <c r="G30">
        <v>617418.32999999996</v>
      </c>
      <c r="I30">
        <v>-74830.570000000007</v>
      </c>
      <c r="K30">
        <v>-0.1212</v>
      </c>
    </row>
    <row r="31" spans="2:11" x14ac:dyDescent="0.35">
      <c r="B31" t="s">
        <v>6</v>
      </c>
      <c r="E31">
        <v>2140027.38</v>
      </c>
      <c r="G31">
        <v>2299667.42</v>
      </c>
      <c r="I31">
        <v>-159640.04</v>
      </c>
      <c r="K31">
        <v>-6.9419999999999996E-2</v>
      </c>
    </row>
    <row r="32" spans="2:11" x14ac:dyDescent="0.35">
      <c r="B32" t="s">
        <v>7</v>
      </c>
      <c r="E32">
        <v>689.35</v>
      </c>
      <c r="G32">
        <v>1840.23</v>
      </c>
      <c r="I32">
        <v>-1150.8800000000001</v>
      </c>
      <c r="K32">
        <v>-0.62539999999999996</v>
      </c>
    </row>
    <row r="33" spans="1:11" x14ac:dyDescent="0.35">
      <c r="B33" t="s">
        <v>43</v>
      </c>
      <c r="E33">
        <v>430.84</v>
      </c>
      <c r="G33">
        <v>2779.37</v>
      </c>
      <c r="I33">
        <v>-2348.5300000000002</v>
      </c>
      <c r="K33">
        <v>-0.84499000000000002</v>
      </c>
    </row>
    <row r="34" spans="1:11" x14ac:dyDescent="0.35">
      <c r="B34" t="s">
        <v>44</v>
      </c>
      <c r="E34">
        <v>30</v>
      </c>
      <c r="G34">
        <v>10</v>
      </c>
      <c r="I34">
        <v>20</v>
      </c>
      <c r="K34">
        <v>2</v>
      </c>
    </row>
    <row r="35" spans="1:11" x14ac:dyDescent="0.35">
      <c r="A35" t="s">
        <v>8</v>
      </c>
      <c r="E35" s="41">
        <v>2141177.5699999998</v>
      </c>
      <c r="G35">
        <v>2304297.02</v>
      </c>
      <c r="I35">
        <v>-163119.45000000001</v>
      </c>
      <c r="K35">
        <v>-7.0790000000000006E-2</v>
      </c>
    </row>
    <row r="36" spans="1:11" x14ac:dyDescent="0.35">
      <c r="A36" t="s">
        <v>30</v>
      </c>
      <c r="E36">
        <v>0</v>
      </c>
      <c r="G36">
        <v>0</v>
      </c>
      <c r="I36">
        <v>0</v>
      </c>
      <c r="K36">
        <v>0</v>
      </c>
    </row>
    <row r="37" spans="1:11" x14ac:dyDescent="0.35">
      <c r="E37" s="41">
        <v>2141177.5699999998</v>
      </c>
      <c r="G37">
        <v>2304297.02</v>
      </c>
      <c r="I37">
        <v>-163119.45000000001</v>
      </c>
      <c r="K37">
        <v>-7.0790000000000006E-2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8B1B4-B116-482F-86EF-04485BD3B4A3}">
  <dimension ref="A1:AK64"/>
  <sheetViews>
    <sheetView workbookViewId="0">
      <selection sqref="A1:AK64"/>
    </sheetView>
  </sheetViews>
  <sheetFormatPr defaultColWidth="9.1796875" defaultRowHeight="12.5" x14ac:dyDescent="0.25"/>
  <cols>
    <col min="1" max="16384" width="9.1796875" style="9"/>
  </cols>
  <sheetData>
    <row r="1" spans="1:37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</row>
    <row r="2" spans="1:37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37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</row>
    <row r="4" spans="1:37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x14ac:dyDescent="0.2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</row>
    <row r="6" spans="1:37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</row>
    <row r="7" spans="1:37" x14ac:dyDescent="0.2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</row>
    <row r="8" spans="1:37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</row>
    <row r="9" spans="1:37" x14ac:dyDescent="0.2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</row>
    <row r="10" spans="1:37" x14ac:dyDescent="0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</row>
    <row r="11" spans="1:37" x14ac:dyDescent="0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</row>
    <row r="12" spans="1:37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</row>
    <row r="13" spans="1:37" x14ac:dyDescent="0.2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</row>
    <row r="14" spans="1:37" x14ac:dyDescent="0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</row>
    <row r="15" spans="1:37" x14ac:dyDescent="0.25">
      <c r="A15" s="53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</row>
    <row r="16" spans="1:37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</row>
    <row r="17" spans="1:37" x14ac:dyDescent="0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</row>
    <row r="18" spans="1:37" x14ac:dyDescent="0.25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</row>
    <row r="19" spans="1:37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</row>
    <row r="20" spans="1:37" x14ac:dyDescent="0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</row>
    <row r="21" spans="1:37" x14ac:dyDescent="0.2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</row>
    <row r="22" spans="1:37" x14ac:dyDescent="0.2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</row>
    <row r="23" spans="1:37" x14ac:dyDescent="0.25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</row>
    <row r="24" spans="1:37" x14ac:dyDescent="0.25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</row>
    <row r="25" spans="1:37" x14ac:dyDescent="0.2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</row>
    <row r="26" spans="1:37" x14ac:dyDescent="0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</row>
    <row r="27" spans="1:37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</row>
    <row r="28" spans="1:37" x14ac:dyDescent="0.25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</row>
    <row r="29" spans="1:37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</row>
    <row r="30" spans="1:37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</row>
    <row r="31" spans="1:37" x14ac:dyDescent="0.2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</row>
    <row r="32" spans="1:37" x14ac:dyDescent="0.2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</row>
    <row r="33" spans="1:37" x14ac:dyDescent="0.2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</row>
    <row r="34" spans="1:37" x14ac:dyDescent="0.25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</row>
    <row r="35" spans="1:37" x14ac:dyDescent="0.2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</row>
    <row r="36" spans="1:37" x14ac:dyDescent="0.25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</row>
    <row r="37" spans="1:37" x14ac:dyDescent="0.25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</row>
    <row r="38" spans="1:37" x14ac:dyDescent="0.2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</row>
    <row r="39" spans="1:37" x14ac:dyDescent="0.25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</row>
    <row r="40" spans="1:37" x14ac:dyDescent="0.2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</row>
    <row r="41" spans="1:37" x14ac:dyDescent="0.2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</row>
    <row r="42" spans="1:37" x14ac:dyDescent="0.2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</row>
    <row r="43" spans="1:37" x14ac:dyDescent="0.2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</row>
    <row r="44" spans="1:37" x14ac:dyDescent="0.2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</row>
    <row r="45" spans="1:37" x14ac:dyDescent="0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</row>
    <row r="46" spans="1:37" x14ac:dyDescent="0.2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</row>
    <row r="47" spans="1:37" x14ac:dyDescent="0.2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</row>
    <row r="48" spans="1:37" x14ac:dyDescent="0.2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</row>
    <row r="49" spans="1:37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</row>
    <row r="50" spans="1:37" x14ac:dyDescent="0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</row>
    <row r="51" spans="1:37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</row>
    <row r="52" spans="1:37" x14ac:dyDescent="0.2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</row>
    <row r="53" spans="1:37" x14ac:dyDescent="0.2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</row>
    <row r="54" spans="1:37" x14ac:dyDescent="0.2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x14ac:dyDescent="0.2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</row>
    <row r="56" spans="1:37" x14ac:dyDescent="0.2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</row>
    <row r="57" spans="1:37" x14ac:dyDescent="0.2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</row>
    <row r="58" spans="1:37" x14ac:dyDescent="0.2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</row>
    <row r="59" spans="1:37" x14ac:dyDescent="0.2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</row>
    <row r="60" spans="1:37" x14ac:dyDescent="0.2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</row>
    <row r="61" spans="1:37" x14ac:dyDescent="0.2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</row>
    <row r="62" spans="1:37" x14ac:dyDescent="0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</row>
    <row r="63" spans="1:37" x14ac:dyDescent="0.2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</row>
    <row r="64" spans="1:37" x14ac:dyDescent="0.2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</row>
  </sheetData>
  <mergeCells count="1">
    <mergeCell ref="A1:AK64"/>
  </mergeCell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E7CAF-8073-4EE7-BF5C-1DB4BF18CAFB}">
  <sheetPr codeName="Sheet8"/>
  <dimension ref="A1:N27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C3" sqref="C3"/>
    </sheetView>
  </sheetViews>
  <sheetFormatPr defaultRowHeight="14.5" x14ac:dyDescent="0.35"/>
  <cols>
    <col min="1" max="4" width="2.90625" style="16" customWidth="1"/>
    <col min="5" max="5" width="17.08984375" style="16" customWidth="1"/>
    <col min="6" max="6" width="13.90625" bestFit="1" customWidth="1"/>
    <col min="7" max="7" width="2.1796875" customWidth="1"/>
    <col min="8" max="8" width="13.90625" bestFit="1" customWidth="1"/>
    <col min="9" max="9" width="2.1796875" customWidth="1"/>
    <col min="10" max="10" width="12.08984375" bestFit="1" customWidth="1"/>
    <col min="11" max="11" width="2.1796875" customWidth="1"/>
    <col min="12" max="12" width="9.453125" bestFit="1" customWidth="1"/>
    <col min="13" max="13" width="23.453125" customWidth="1"/>
    <col min="14" max="14" width="15.90625" customWidth="1"/>
  </cols>
  <sheetData>
    <row r="1" spans="1:14" ht="15" thickBot="1" x14ac:dyDescent="0.4">
      <c r="A1" s="1"/>
      <c r="B1" s="1"/>
      <c r="C1" s="1"/>
      <c r="D1" s="1"/>
      <c r="E1" s="1"/>
      <c r="F1" s="50"/>
      <c r="G1" s="51"/>
      <c r="H1" s="50"/>
      <c r="I1" s="51"/>
      <c r="J1" s="50"/>
      <c r="K1" s="51"/>
      <c r="L1" s="50"/>
    </row>
    <row r="2" spans="1:14" s="6" customFormat="1" ht="15.5" thickTop="1" thickBot="1" x14ac:dyDescent="0.4">
      <c r="A2" s="5"/>
      <c r="B2" s="5"/>
      <c r="C2" s="5"/>
      <c r="D2" s="5"/>
      <c r="E2" s="5"/>
      <c r="F2" s="17" t="s">
        <v>102</v>
      </c>
      <c r="G2" s="19"/>
      <c r="H2" s="17" t="s">
        <v>65</v>
      </c>
      <c r="I2" s="19"/>
      <c r="J2" s="17" t="s">
        <v>11</v>
      </c>
      <c r="K2" s="19"/>
      <c r="L2" s="17" t="s">
        <v>12</v>
      </c>
    </row>
    <row r="3" spans="1:14" ht="15" thickTop="1" x14ac:dyDescent="0.35">
      <c r="A3" s="1"/>
      <c r="B3" s="1" t="s">
        <v>0</v>
      </c>
      <c r="C3" s="1"/>
      <c r="D3" s="1"/>
      <c r="E3" s="1"/>
      <c r="F3" s="3"/>
      <c r="G3" s="18"/>
      <c r="H3" s="3"/>
      <c r="I3" s="18"/>
      <c r="J3" s="3"/>
      <c r="K3" s="18"/>
      <c r="L3" s="10"/>
    </row>
    <row r="4" spans="1:14" x14ac:dyDescent="0.35">
      <c r="A4" s="1"/>
      <c r="B4" s="1"/>
      <c r="C4" s="1" t="s">
        <v>1</v>
      </c>
      <c r="D4" s="1"/>
      <c r="E4" s="1"/>
      <c r="F4" s="3"/>
      <c r="G4" s="18"/>
      <c r="H4" s="3"/>
      <c r="I4" s="18"/>
      <c r="J4" s="3"/>
      <c r="K4" s="18"/>
      <c r="L4" s="10"/>
    </row>
    <row r="5" spans="1:14" x14ac:dyDescent="0.35">
      <c r="A5" s="1"/>
      <c r="B5" s="1"/>
      <c r="C5" s="1"/>
      <c r="D5" s="1" t="s">
        <v>2</v>
      </c>
      <c r="E5" s="1"/>
      <c r="F5" s="3"/>
      <c r="G5" s="18"/>
      <c r="H5" s="3"/>
      <c r="I5" s="18"/>
      <c r="J5" s="3"/>
      <c r="K5" s="18"/>
      <c r="L5" s="10"/>
    </row>
    <row r="6" spans="1:14" x14ac:dyDescent="0.35">
      <c r="A6" s="1"/>
      <c r="B6" s="1"/>
      <c r="C6" s="1"/>
      <c r="D6" s="1"/>
      <c r="E6" s="25" t="s">
        <v>101</v>
      </c>
      <c r="F6" s="22">
        <v>1080748.24</v>
      </c>
      <c r="G6" s="18"/>
      <c r="H6" s="3">
        <v>0</v>
      </c>
      <c r="I6" s="18"/>
      <c r="J6" s="3">
        <f t="shared" ref="J6:J15" si="0">ROUND((F6-H6),5)</f>
        <v>1080748.24</v>
      </c>
      <c r="K6" s="18"/>
      <c r="L6" s="10">
        <f t="shared" ref="L6:L15" si="1">ROUND(IF(F6=0, IF(H6=0, 0, SIGN(-H6)), IF(H6=0, SIGN(F6), (F6-H6)/ABS(H6))),5)</f>
        <v>1</v>
      </c>
    </row>
    <row r="7" spans="1:14" x14ac:dyDescent="0.35">
      <c r="A7" s="1"/>
      <c r="B7" s="1"/>
      <c r="C7" s="1"/>
      <c r="D7" s="1"/>
      <c r="E7" s="1" t="s">
        <v>64</v>
      </c>
      <c r="F7" s="23">
        <v>387503.64</v>
      </c>
      <c r="G7" s="18"/>
      <c r="H7" s="3">
        <v>960231.47</v>
      </c>
      <c r="I7" s="18"/>
      <c r="J7" s="3">
        <f t="shared" si="0"/>
        <v>-572727.82999999996</v>
      </c>
      <c r="K7" s="18"/>
      <c r="L7" s="10">
        <f t="shared" si="1"/>
        <v>-0.59645000000000004</v>
      </c>
    </row>
    <row r="8" spans="1:14" x14ac:dyDescent="0.35">
      <c r="A8" s="1"/>
      <c r="B8" s="1"/>
      <c r="C8" s="1"/>
      <c r="D8" s="1"/>
      <c r="E8" s="25" t="s">
        <v>100</v>
      </c>
      <c r="F8" s="22">
        <v>35990.089999999997</v>
      </c>
      <c r="G8" s="18"/>
      <c r="H8" s="3">
        <v>0</v>
      </c>
      <c r="I8" s="18"/>
      <c r="J8" s="3">
        <f t="shared" si="0"/>
        <v>35990.089999999997</v>
      </c>
      <c r="K8" s="18"/>
      <c r="L8" s="10">
        <f t="shared" si="1"/>
        <v>1</v>
      </c>
    </row>
    <row r="9" spans="1:14" x14ac:dyDescent="0.35">
      <c r="A9" s="1"/>
      <c r="B9" s="1"/>
      <c r="C9" s="1"/>
      <c r="D9" s="1"/>
      <c r="E9" s="1" t="s">
        <v>63</v>
      </c>
      <c r="F9" s="23">
        <v>6472.84</v>
      </c>
      <c r="G9" s="18"/>
      <c r="H9" s="3">
        <v>30983.7</v>
      </c>
      <c r="I9" s="18"/>
      <c r="J9" s="3">
        <f t="shared" si="0"/>
        <v>-24510.86</v>
      </c>
      <c r="K9" s="18"/>
      <c r="L9" s="10">
        <f t="shared" si="1"/>
        <v>-0.79108999999999996</v>
      </c>
    </row>
    <row r="10" spans="1:14" x14ac:dyDescent="0.35">
      <c r="A10" s="1"/>
      <c r="B10" s="1"/>
      <c r="C10" s="1"/>
      <c r="D10" s="1"/>
      <c r="E10" s="1" t="s">
        <v>17</v>
      </c>
      <c r="F10" s="23">
        <v>0</v>
      </c>
      <c r="G10" s="18"/>
      <c r="H10" s="3">
        <v>688</v>
      </c>
      <c r="I10" s="18"/>
      <c r="J10" s="3">
        <f t="shared" si="0"/>
        <v>-688</v>
      </c>
      <c r="K10" s="18"/>
      <c r="L10" s="10">
        <f t="shared" si="1"/>
        <v>-1</v>
      </c>
    </row>
    <row r="11" spans="1:14" x14ac:dyDescent="0.35">
      <c r="A11" s="1"/>
      <c r="B11" s="1"/>
      <c r="C11" s="1"/>
      <c r="D11" s="1"/>
      <c r="E11" s="1" t="s">
        <v>15</v>
      </c>
      <c r="F11" s="23">
        <v>0</v>
      </c>
      <c r="G11" s="18"/>
      <c r="H11" s="3">
        <v>650.44000000000005</v>
      </c>
      <c r="I11" s="18"/>
      <c r="J11" s="3">
        <f t="shared" si="0"/>
        <v>-650.44000000000005</v>
      </c>
      <c r="K11" s="18"/>
      <c r="L11" s="10">
        <f t="shared" si="1"/>
        <v>-1</v>
      </c>
    </row>
    <row r="12" spans="1:14" x14ac:dyDescent="0.35">
      <c r="A12" s="1"/>
      <c r="B12" s="1"/>
      <c r="C12" s="1"/>
      <c r="D12" s="1"/>
      <c r="E12" s="1" t="s">
        <v>13</v>
      </c>
      <c r="F12" s="23">
        <v>0</v>
      </c>
      <c r="G12" s="18"/>
      <c r="H12" s="3">
        <v>4529.76</v>
      </c>
      <c r="I12" s="18"/>
      <c r="J12" s="3">
        <f t="shared" si="0"/>
        <v>-4529.76</v>
      </c>
      <c r="K12" s="18"/>
      <c r="L12" s="10">
        <f t="shared" si="1"/>
        <v>-1</v>
      </c>
    </row>
    <row r="13" spans="1:14" x14ac:dyDescent="0.35">
      <c r="A13" s="1"/>
      <c r="B13" s="1"/>
      <c r="C13" s="1"/>
      <c r="D13" s="1"/>
      <c r="E13" s="1" t="s">
        <v>34</v>
      </c>
      <c r="F13" s="23">
        <v>0</v>
      </c>
      <c r="G13" s="18"/>
      <c r="H13" s="3">
        <v>456457.59</v>
      </c>
      <c r="I13" s="18"/>
      <c r="J13" s="3">
        <f t="shared" si="0"/>
        <v>-456457.59</v>
      </c>
      <c r="K13" s="18"/>
      <c r="L13" s="10">
        <f t="shared" si="1"/>
        <v>-1</v>
      </c>
    </row>
    <row r="14" spans="1:14" ht="15" thickBot="1" x14ac:dyDescent="0.4">
      <c r="A14" s="1"/>
      <c r="B14" s="1"/>
      <c r="C14" s="1"/>
      <c r="D14" s="1"/>
      <c r="E14" s="1" t="s">
        <v>33</v>
      </c>
      <c r="F14" s="24">
        <v>0</v>
      </c>
      <c r="G14" s="18"/>
      <c r="H14" s="4">
        <v>16449.57</v>
      </c>
      <c r="I14" s="18"/>
      <c r="J14" s="4">
        <f t="shared" si="0"/>
        <v>-16449.57</v>
      </c>
      <c r="K14" s="18"/>
      <c r="L14" s="11">
        <f t="shared" si="1"/>
        <v>-1</v>
      </c>
    </row>
    <row r="15" spans="1:14" x14ac:dyDescent="0.35">
      <c r="A15" s="1"/>
      <c r="B15" s="1"/>
      <c r="C15" s="1"/>
      <c r="D15" s="1" t="s">
        <v>3</v>
      </c>
      <c r="E15" s="1"/>
      <c r="F15" s="3">
        <f>ROUND(F5+F8+F6+F9+F7+F14+F13+F12+F11+F10,5)</f>
        <v>1510714.81</v>
      </c>
      <c r="G15" s="18"/>
      <c r="H15" s="3">
        <f>ROUND(H5+H8+H6+H9+H7+H14+H13+H12+H11+H10,5)</f>
        <v>1469990.53</v>
      </c>
      <c r="I15" s="18"/>
      <c r="J15" s="3">
        <f t="shared" si="0"/>
        <v>40724.28</v>
      </c>
      <c r="K15" s="18"/>
      <c r="L15" s="10">
        <f t="shared" si="1"/>
        <v>2.7699999999999999E-2</v>
      </c>
      <c r="M15" s="33" t="s">
        <v>66</v>
      </c>
      <c r="N15" s="35">
        <f>SUM(F6,F8)</f>
        <v>1116738.33</v>
      </c>
    </row>
    <row r="16" spans="1:14" x14ac:dyDescent="0.35">
      <c r="A16" s="1"/>
      <c r="B16" s="1"/>
      <c r="C16" s="1"/>
      <c r="D16" s="1" t="s">
        <v>4</v>
      </c>
      <c r="E16" s="1"/>
      <c r="F16" s="3"/>
      <c r="G16" s="18"/>
      <c r="H16" s="3"/>
      <c r="I16" s="18"/>
      <c r="J16" s="3"/>
      <c r="K16" s="18"/>
      <c r="L16" s="10"/>
      <c r="M16" s="34" t="s">
        <v>67</v>
      </c>
      <c r="N16" s="36">
        <f>SUM(F7,F9:F14)</f>
        <v>393976.48000000004</v>
      </c>
    </row>
    <row r="17" spans="1:14" x14ac:dyDescent="0.35">
      <c r="A17" s="1"/>
      <c r="B17" s="1"/>
      <c r="C17" s="1"/>
      <c r="D17" s="1"/>
      <c r="E17" s="25" t="s">
        <v>99</v>
      </c>
      <c r="F17" s="22">
        <v>429589.85</v>
      </c>
      <c r="G17" s="18"/>
      <c r="H17" s="3">
        <v>0</v>
      </c>
      <c r="I17" s="18"/>
      <c r="J17" s="3">
        <f t="shared" ref="J17:J26" si="2">ROUND((F17-H17),5)</f>
        <v>429589.85</v>
      </c>
      <c r="K17" s="18"/>
      <c r="L17" s="10">
        <f t="shared" ref="L17:L26" si="3">ROUND(IF(F17=0, IF(H17=0, 0, SIGN(-H17)), IF(H17=0, SIGN(F17), (F17-H17)/ABS(H17))),5)</f>
        <v>1</v>
      </c>
    </row>
    <row r="18" spans="1:14" x14ac:dyDescent="0.35">
      <c r="A18" s="1"/>
      <c r="B18" s="1"/>
      <c r="C18" s="1"/>
      <c r="D18" s="1"/>
      <c r="E18" s="1" t="s">
        <v>62</v>
      </c>
      <c r="F18" s="23">
        <v>74774.41</v>
      </c>
      <c r="G18" s="18"/>
      <c r="H18" s="3">
        <v>410875.31</v>
      </c>
      <c r="I18" s="18"/>
      <c r="J18" s="3">
        <f t="shared" si="2"/>
        <v>-336100.9</v>
      </c>
      <c r="K18" s="18"/>
      <c r="L18" s="10">
        <f t="shared" si="3"/>
        <v>-0.81801000000000001</v>
      </c>
    </row>
    <row r="19" spans="1:14" x14ac:dyDescent="0.35">
      <c r="A19" s="1"/>
      <c r="B19" s="1"/>
      <c r="C19" s="1"/>
      <c r="D19" s="1"/>
      <c r="E19" s="1" t="s">
        <v>24</v>
      </c>
      <c r="F19" s="23">
        <v>0</v>
      </c>
      <c r="G19" s="18"/>
      <c r="H19" s="3">
        <v>259.83999999999997</v>
      </c>
      <c r="I19" s="18"/>
      <c r="J19" s="3">
        <f t="shared" si="2"/>
        <v>-259.83999999999997</v>
      </c>
      <c r="K19" s="18"/>
      <c r="L19" s="10">
        <f t="shared" si="3"/>
        <v>-1</v>
      </c>
    </row>
    <row r="20" spans="1:14" x14ac:dyDescent="0.35">
      <c r="A20" s="1"/>
      <c r="B20" s="1"/>
      <c r="C20" s="1"/>
      <c r="D20" s="1"/>
      <c r="E20" s="1" t="s">
        <v>23</v>
      </c>
      <c r="F20" s="23">
        <v>0</v>
      </c>
      <c r="G20" s="18"/>
      <c r="H20" s="3">
        <v>764.4</v>
      </c>
      <c r="I20" s="18"/>
      <c r="J20" s="3">
        <f t="shared" si="2"/>
        <v>-764.4</v>
      </c>
      <c r="K20" s="18"/>
      <c r="L20" s="10">
        <f t="shared" si="3"/>
        <v>-1</v>
      </c>
    </row>
    <row r="21" spans="1:14" ht="15" thickBot="1" x14ac:dyDescent="0.4">
      <c r="A21" s="1"/>
      <c r="B21" s="1"/>
      <c r="C21" s="1"/>
      <c r="D21" s="1"/>
      <c r="E21" s="1" t="s">
        <v>32</v>
      </c>
      <c r="F21" s="23">
        <v>0</v>
      </c>
      <c r="G21" s="18"/>
      <c r="H21" s="3">
        <v>86035.6</v>
      </c>
      <c r="I21" s="18"/>
      <c r="J21" s="3">
        <f t="shared" si="2"/>
        <v>-86035.6</v>
      </c>
      <c r="K21" s="18"/>
      <c r="L21" s="10">
        <f t="shared" si="3"/>
        <v>-1</v>
      </c>
    </row>
    <row r="22" spans="1:14" ht="15" thickBot="1" x14ac:dyDescent="0.4">
      <c r="A22" s="1"/>
      <c r="B22" s="1"/>
      <c r="C22" s="1"/>
      <c r="D22" s="1" t="s">
        <v>5</v>
      </c>
      <c r="E22" s="1"/>
      <c r="F22" s="49">
        <f>ROUND(SUM(F16:F18)+F21+F20+F19,5)</f>
        <v>504364.26</v>
      </c>
      <c r="G22" s="18"/>
      <c r="H22" s="49">
        <f>ROUND(SUM(H16:H18)+H21+H20+H19,5)</f>
        <v>497935.15</v>
      </c>
      <c r="I22" s="18"/>
      <c r="J22" s="49">
        <f t="shared" si="2"/>
        <v>6429.11</v>
      </c>
      <c r="K22" s="18"/>
      <c r="L22" s="48">
        <f t="shared" si="3"/>
        <v>1.291E-2</v>
      </c>
      <c r="M22" s="33" t="s">
        <v>68</v>
      </c>
      <c r="N22" s="35">
        <f>SUM(F17)</f>
        <v>429589.85</v>
      </c>
    </row>
    <row r="23" spans="1:14" ht="15" thickBot="1" x14ac:dyDescent="0.4">
      <c r="A23" s="1"/>
      <c r="B23" s="1"/>
      <c r="C23" s="1" t="s">
        <v>6</v>
      </c>
      <c r="D23" s="1"/>
      <c r="E23" s="1"/>
      <c r="F23" s="21">
        <f>ROUND(F4+F15+F22,5)</f>
        <v>2015079.07</v>
      </c>
      <c r="G23" s="18"/>
      <c r="H23" s="21">
        <f>ROUND(H4+H15+H22,5)</f>
        <v>1967925.68</v>
      </c>
      <c r="I23" s="18"/>
      <c r="J23" s="21">
        <f t="shared" si="2"/>
        <v>47153.39</v>
      </c>
      <c r="K23" s="18"/>
      <c r="L23" s="20">
        <f t="shared" si="3"/>
        <v>2.3959999999999999E-2</v>
      </c>
      <c r="M23" s="34" t="s">
        <v>69</v>
      </c>
      <c r="N23" s="36">
        <f>SUM(F18:F21)</f>
        <v>74774.41</v>
      </c>
    </row>
    <row r="24" spans="1:14" x14ac:dyDescent="0.35">
      <c r="A24" s="1"/>
      <c r="B24" s="1" t="s">
        <v>8</v>
      </c>
      <c r="C24" s="1"/>
      <c r="D24" s="1"/>
      <c r="E24" s="1"/>
      <c r="F24" s="3">
        <f>ROUND(F3+F23,5)</f>
        <v>2015079.07</v>
      </c>
      <c r="G24" s="18"/>
      <c r="H24" s="3">
        <f>ROUND(H3+H23,5)</f>
        <v>1967925.68</v>
      </c>
      <c r="I24" s="18"/>
      <c r="J24" s="3">
        <f t="shared" si="2"/>
        <v>47153.39</v>
      </c>
      <c r="K24" s="18"/>
      <c r="L24" s="10">
        <f t="shared" si="3"/>
        <v>2.3959999999999999E-2</v>
      </c>
    </row>
    <row r="25" spans="1:14" ht="15" thickBot="1" x14ac:dyDescent="0.4">
      <c r="A25" s="1"/>
      <c r="B25" s="1" t="s">
        <v>30</v>
      </c>
      <c r="C25" s="1"/>
      <c r="D25" s="1"/>
      <c r="E25" s="1"/>
      <c r="F25" s="3">
        <v>0</v>
      </c>
      <c r="G25" s="18"/>
      <c r="H25" s="3">
        <v>0</v>
      </c>
      <c r="I25" s="18"/>
      <c r="J25" s="3">
        <f t="shared" si="2"/>
        <v>0</v>
      </c>
      <c r="K25" s="18"/>
      <c r="L25" s="10">
        <f t="shared" si="3"/>
        <v>0</v>
      </c>
    </row>
    <row r="26" spans="1:14" s="16" customFormat="1" ht="13.5" thickBot="1" x14ac:dyDescent="0.35">
      <c r="A26" s="1" t="s">
        <v>31</v>
      </c>
      <c r="B26" s="1"/>
      <c r="C26" s="1"/>
      <c r="D26" s="1"/>
      <c r="E26" s="1"/>
      <c r="F26" s="14">
        <f>ROUND(F24-F25,5)</f>
        <v>2015079.07</v>
      </c>
      <c r="G26" s="1"/>
      <c r="H26" s="14">
        <f>ROUND(H24-H25,5)</f>
        <v>1967925.68</v>
      </c>
      <c r="I26" s="1"/>
      <c r="J26" s="14">
        <f t="shared" si="2"/>
        <v>47153.39</v>
      </c>
      <c r="K26" s="1"/>
      <c r="L26" s="15">
        <f t="shared" si="3"/>
        <v>2.3959999999999999E-2</v>
      </c>
    </row>
    <row r="27" spans="1:14" ht="15" thickTop="1" x14ac:dyDescent="0.35"/>
  </sheetData>
  <pageMargins left="0.7" right="0.7" top="0.75" bottom="0.75" header="0.1" footer="0.3"/>
  <pageSetup orientation="portrait" r:id="rId1"/>
  <headerFooter>
    <oddHeader>&amp;L&amp;"Arial,Bold"&amp;10 12:04 PM
&amp;"Arial,Bold"&amp;10 04/27/22
&amp;"Arial,Bold"&amp;10 Cash Basis&amp;C&amp;"Arial,Bold"&amp;12 Apple Market Order
&amp;"Arial,Bold"&amp;14 Collections Report</oddHeader>
    <oddFooter>&amp;R&amp;"Arial,Bold"&amp;10 Page &amp;P of &amp;N</oddFooter>
  </headerFooter>
  <drawing r:id="rId2"/>
  <legacyDrawing r:id="rId3"/>
  <controls>
    <mc:AlternateContent xmlns:mc="http://schemas.openxmlformats.org/markup-compatibility/2006">
      <mc:Choice Requires="x14">
        <control shapeId="3584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35842" r:id="rId4" name="HEADER"/>
      </mc:Fallback>
    </mc:AlternateContent>
    <mc:AlternateContent xmlns:mc="http://schemas.openxmlformats.org/markup-compatibility/2006">
      <mc:Choice Requires="x14">
        <control shapeId="3584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35841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26C90-EE8C-4F5D-AA1D-BA9F2B7BCD7E}">
  <sheetPr codeName="Sheet7"/>
  <dimension ref="A1:N30"/>
  <sheetViews>
    <sheetView workbookViewId="0">
      <pane xSplit="5" ySplit="2" topLeftCell="F17" activePane="bottomRight" state="frozenSplit"/>
      <selection pane="topRight" activeCell="F1" sqref="F1"/>
      <selection pane="bottomLeft" activeCell="A3" sqref="A3"/>
      <selection pane="bottomRight" activeCell="M23" sqref="M23:N24"/>
    </sheetView>
  </sheetViews>
  <sheetFormatPr defaultRowHeight="14.5" x14ac:dyDescent="0.35"/>
  <cols>
    <col min="1" max="4" width="3" style="16" customWidth="1"/>
    <col min="5" max="5" width="17.54296875" style="16" customWidth="1"/>
    <col min="6" max="6" width="14.453125" bestFit="1" customWidth="1"/>
    <col min="7" max="7" width="2.26953125" customWidth="1"/>
    <col min="8" max="8" width="14.453125" bestFit="1" customWidth="1"/>
    <col min="9" max="9" width="2.26953125" customWidth="1"/>
    <col min="10" max="10" width="11.26953125" bestFit="1" customWidth="1"/>
    <col min="11" max="11" width="2.26953125" customWidth="1"/>
    <col min="12" max="12" width="15.1796875" bestFit="1" customWidth="1"/>
    <col min="13" max="13" width="25" customWidth="1"/>
    <col min="14" max="14" width="13.453125" customWidth="1"/>
  </cols>
  <sheetData>
    <row r="1" spans="1:14" ht="16" thickBot="1" x14ac:dyDescent="0.4">
      <c r="A1" s="1"/>
      <c r="B1" s="1"/>
      <c r="C1" s="1"/>
      <c r="D1" s="1"/>
      <c r="E1" s="1"/>
      <c r="F1" s="52" t="s">
        <v>71</v>
      </c>
      <c r="G1" s="52"/>
      <c r="H1" s="52"/>
      <c r="I1" s="52"/>
      <c r="J1" s="52"/>
      <c r="K1" s="52"/>
      <c r="L1" s="52"/>
    </row>
    <row r="2" spans="1:14" s="6" customFormat="1" ht="15.5" thickTop="1" thickBot="1" x14ac:dyDescent="0.4">
      <c r="A2" s="5"/>
      <c r="B2" s="5"/>
      <c r="C2" s="5"/>
      <c r="D2" s="5"/>
      <c r="E2" s="5"/>
      <c r="F2" s="17" t="s">
        <v>65</v>
      </c>
      <c r="G2" s="19"/>
      <c r="H2" s="17" t="s">
        <v>35</v>
      </c>
      <c r="I2" s="19"/>
      <c r="J2" s="17" t="s">
        <v>11</v>
      </c>
      <c r="K2" s="19"/>
      <c r="L2" s="17" t="s">
        <v>12</v>
      </c>
    </row>
    <row r="3" spans="1:14" ht="15" thickTop="1" x14ac:dyDescent="0.35">
      <c r="A3" s="1"/>
      <c r="B3" s="1" t="s">
        <v>0</v>
      </c>
      <c r="C3" s="1"/>
      <c r="D3" s="1"/>
      <c r="E3" s="1"/>
      <c r="F3" s="3"/>
      <c r="G3" s="18"/>
      <c r="H3" s="3"/>
      <c r="I3" s="18"/>
      <c r="J3" s="3"/>
      <c r="K3" s="18"/>
      <c r="L3" s="10"/>
    </row>
    <row r="4" spans="1:14" x14ac:dyDescent="0.35">
      <c r="A4" s="1"/>
      <c r="B4" s="1"/>
      <c r="C4" s="1" t="s">
        <v>1</v>
      </c>
      <c r="D4" s="1"/>
      <c r="E4" s="1"/>
      <c r="F4" s="3"/>
      <c r="G4" s="18"/>
      <c r="H4" s="3"/>
      <c r="I4" s="18"/>
      <c r="J4" s="3"/>
      <c r="K4" s="18"/>
      <c r="L4" s="10"/>
    </row>
    <row r="5" spans="1:14" x14ac:dyDescent="0.35">
      <c r="A5" s="1"/>
      <c r="B5" s="1"/>
      <c r="C5" s="1"/>
      <c r="D5" s="1" t="s">
        <v>2</v>
      </c>
      <c r="E5" s="1"/>
      <c r="F5" s="3"/>
      <c r="G5" s="18"/>
      <c r="H5" s="3"/>
      <c r="I5" s="18"/>
      <c r="J5" s="3"/>
      <c r="K5" s="18"/>
      <c r="L5" s="10"/>
    </row>
    <row r="6" spans="1:14" x14ac:dyDescent="0.35">
      <c r="A6" s="1"/>
      <c r="B6" s="1"/>
      <c r="C6" s="1"/>
      <c r="D6" s="1"/>
      <c r="E6" s="25" t="s">
        <v>64</v>
      </c>
      <c r="F6" s="22">
        <v>960231.47</v>
      </c>
      <c r="G6" s="18"/>
      <c r="H6" s="3">
        <v>-0.2</v>
      </c>
      <c r="I6" s="18"/>
      <c r="J6" s="3">
        <f t="shared" ref="J6:J16" si="0">ROUND((F6-H6),5)</f>
        <v>960231.67</v>
      </c>
      <c r="K6" s="18"/>
      <c r="L6" s="10">
        <f t="shared" ref="L6:L16" si="1">ROUND(IF(F6=0, IF(H6=0, 0, SIGN(-H6)), IF(H6=0, SIGN(F6), (F6-H6)/ABS(H6))),5)</f>
        <v>4801158.3499999996</v>
      </c>
    </row>
    <row r="7" spans="1:14" x14ac:dyDescent="0.35">
      <c r="A7" s="1"/>
      <c r="B7" s="1"/>
      <c r="C7" s="1"/>
      <c r="D7" s="1"/>
      <c r="E7" s="1" t="s">
        <v>34</v>
      </c>
      <c r="F7" s="23">
        <v>456457.59</v>
      </c>
      <c r="G7" s="18"/>
      <c r="H7" s="3">
        <v>999496.75</v>
      </c>
      <c r="I7" s="18"/>
      <c r="J7" s="3">
        <f t="shared" si="0"/>
        <v>-543039.16</v>
      </c>
      <c r="K7" s="18"/>
      <c r="L7" s="10">
        <f t="shared" si="1"/>
        <v>-0.54330999999999996</v>
      </c>
    </row>
    <row r="8" spans="1:14" x14ac:dyDescent="0.35">
      <c r="A8" s="1"/>
      <c r="B8" s="1"/>
      <c r="C8" s="1"/>
      <c r="D8" s="1"/>
      <c r="E8" s="25" t="s">
        <v>63</v>
      </c>
      <c r="F8" s="22">
        <v>30983.7</v>
      </c>
      <c r="G8" s="18"/>
      <c r="H8" s="3">
        <v>0</v>
      </c>
      <c r="I8" s="18"/>
      <c r="J8" s="3">
        <f t="shared" si="0"/>
        <v>30983.7</v>
      </c>
      <c r="K8" s="18"/>
      <c r="L8" s="10">
        <f t="shared" si="1"/>
        <v>1</v>
      </c>
    </row>
    <row r="9" spans="1:14" x14ac:dyDescent="0.35">
      <c r="A9" s="1"/>
      <c r="B9" s="1"/>
      <c r="C9" s="1"/>
      <c r="D9" s="1"/>
      <c r="E9" s="1" t="s">
        <v>33</v>
      </c>
      <c r="F9" s="23">
        <v>16449.57</v>
      </c>
      <c r="G9" s="18"/>
      <c r="H9" s="3">
        <v>38281.11</v>
      </c>
      <c r="I9" s="18"/>
      <c r="J9" s="3">
        <f t="shared" si="0"/>
        <v>-21831.54</v>
      </c>
      <c r="K9" s="18"/>
      <c r="L9" s="10">
        <f t="shared" si="1"/>
        <v>-0.57030000000000003</v>
      </c>
    </row>
    <row r="10" spans="1:14" x14ac:dyDescent="0.35">
      <c r="A10" s="1"/>
      <c r="B10" s="1"/>
      <c r="C10" s="1"/>
      <c r="D10" s="1"/>
      <c r="E10" s="1" t="s">
        <v>13</v>
      </c>
      <c r="F10" s="23">
        <v>4529.76</v>
      </c>
      <c r="G10" s="18"/>
      <c r="H10" s="3">
        <v>401471.16</v>
      </c>
      <c r="I10" s="18"/>
      <c r="J10" s="3">
        <f t="shared" si="0"/>
        <v>-396941.4</v>
      </c>
      <c r="K10" s="18"/>
      <c r="L10" s="10">
        <f t="shared" si="1"/>
        <v>-0.98872000000000004</v>
      </c>
    </row>
    <row r="11" spans="1:14" x14ac:dyDescent="0.35">
      <c r="A11" s="1"/>
      <c r="B11" s="1"/>
      <c r="C11" s="1"/>
      <c r="D11" s="1"/>
      <c r="E11" s="1" t="s">
        <v>17</v>
      </c>
      <c r="F11" s="23">
        <v>688</v>
      </c>
      <c r="G11" s="18"/>
      <c r="H11" s="3">
        <v>1575.92</v>
      </c>
      <c r="I11" s="18"/>
      <c r="J11" s="3">
        <f t="shared" si="0"/>
        <v>-887.92</v>
      </c>
      <c r="K11" s="18"/>
      <c r="L11" s="10">
        <f t="shared" si="1"/>
        <v>-0.56342999999999999</v>
      </c>
    </row>
    <row r="12" spans="1:14" x14ac:dyDescent="0.35">
      <c r="A12" s="1"/>
      <c r="B12" s="1"/>
      <c r="C12" s="1"/>
      <c r="D12" s="1"/>
      <c r="E12" s="1" t="s">
        <v>15</v>
      </c>
      <c r="F12" s="23">
        <v>650.44000000000005</v>
      </c>
      <c r="G12" s="18"/>
      <c r="H12" s="3">
        <v>5956.1</v>
      </c>
      <c r="I12" s="18"/>
      <c r="J12" s="3">
        <f t="shared" si="0"/>
        <v>-5305.66</v>
      </c>
      <c r="K12" s="18"/>
      <c r="L12" s="10">
        <f t="shared" si="1"/>
        <v>-0.89078999999999997</v>
      </c>
    </row>
    <row r="13" spans="1:14" x14ac:dyDescent="0.35">
      <c r="A13" s="1"/>
      <c r="B13" s="1"/>
      <c r="C13" s="1"/>
      <c r="D13" s="1"/>
      <c r="E13" s="1" t="s">
        <v>18</v>
      </c>
      <c r="F13" s="23">
        <v>0</v>
      </c>
      <c r="G13" s="18"/>
      <c r="H13" s="3">
        <v>2093.12</v>
      </c>
      <c r="I13" s="18"/>
      <c r="J13" s="3">
        <f t="shared" si="0"/>
        <v>-2093.12</v>
      </c>
      <c r="K13" s="18"/>
      <c r="L13" s="10">
        <f t="shared" si="1"/>
        <v>-1</v>
      </c>
    </row>
    <row r="14" spans="1:14" x14ac:dyDescent="0.35">
      <c r="A14" s="1"/>
      <c r="B14" s="1"/>
      <c r="C14" s="1"/>
      <c r="D14" s="1"/>
      <c r="E14" s="1" t="s">
        <v>14</v>
      </c>
      <c r="F14" s="23">
        <v>0</v>
      </c>
      <c r="G14" s="18"/>
      <c r="H14" s="3">
        <v>41127.040000000001</v>
      </c>
      <c r="I14" s="18"/>
      <c r="J14" s="3">
        <f t="shared" si="0"/>
        <v>-41127.040000000001</v>
      </c>
      <c r="K14" s="18"/>
      <c r="L14" s="10">
        <f t="shared" si="1"/>
        <v>-1</v>
      </c>
    </row>
    <row r="15" spans="1:14" ht="15" thickBot="1" x14ac:dyDescent="0.4">
      <c r="A15" s="1"/>
      <c r="B15" s="1"/>
      <c r="C15" s="1"/>
      <c r="D15" s="1"/>
      <c r="E15" s="1" t="s">
        <v>16</v>
      </c>
      <c r="F15" s="24">
        <v>0</v>
      </c>
      <c r="G15" s="18"/>
      <c r="H15" s="4">
        <v>4755.04</v>
      </c>
      <c r="I15" s="18"/>
      <c r="J15" s="4">
        <f t="shared" si="0"/>
        <v>-4755.04</v>
      </c>
      <c r="K15" s="18"/>
      <c r="L15" s="11">
        <f t="shared" si="1"/>
        <v>-1</v>
      </c>
    </row>
    <row r="16" spans="1:14" x14ac:dyDescent="0.35">
      <c r="A16" s="1"/>
      <c r="B16" s="1"/>
      <c r="C16" s="1"/>
      <c r="D16" s="1" t="s">
        <v>3</v>
      </c>
      <c r="E16" s="1"/>
      <c r="F16" s="3">
        <f>ROUND(F5+F8+F6+F9+F7+F10+F12+F14+F11+F13+F15,5)</f>
        <v>1469990.53</v>
      </c>
      <c r="G16" s="18"/>
      <c r="H16" s="3">
        <f>ROUND(H5+H8+H6+H9+H7+H10+H12+H14+H11+H13+H15,5)</f>
        <v>1494756.04</v>
      </c>
      <c r="I16" s="18"/>
      <c r="J16" s="3">
        <f t="shared" si="0"/>
        <v>-24765.51</v>
      </c>
      <c r="K16" s="18"/>
      <c r="L16" s="10">
        <f t="shared" si="1"/>
        <v>-1.6570000000000001E-2</v>
      </c>
      <c r="M16" s="33" t="s">
        <v>66</v>
      </c>
      <c r="N16" s="35">
        <f>SUM(F6,F8)</f>
        <v>991215.16999999993</v>
      </c>
    </row>
    <row r="17" spans="1:14" x14ac:dyDescent="0.35">
      <c r="A17" s="1"/>
      <c r="B17" s="1"/>
      <c r="C17" s="1"/>
      <c r="D17" s="1" t="s">
        <v>4</v>
      </c>
      <c r="E17" s="1"/>
      <c r="F17" s="3"/>
      <c r="G17" s="18"/>
      <c r="H17" s="3"/>
      <c r="I17" s="18"/>
      <c r="J17" s="3"/>
      <c r="K17" s="18"/>
      <c r="L17" s="10"/>
      <c r="M17" s="34" t="s">
        <v>67</v>
      </c>
      <c r="N17" s="36">
        <f>SUM(F7,F9:F15)</f>
        <v>478775.36000000004</v>
      </c>
    </row>
    <row r="18" spans="1:14" x14ac:dyDescent="0.35">
      <c r="A18" s="1"/>
      <c r="B18" s="1"/>
      <c r="C18" s="1"/>
      <c r="D18" s="1"/>
      <c r="E18" s="25" t="s">
        <v>62</v>
      </c>
      <c r="F18" s="22">
        <v>410875.31</v>
      </c>
      <c r="G18" s="18"/>
      <c r="H18" s="3">
        <v>0</v>
      </c>
      <c r="I18" s="18"/>
      <c r="J18" s="3">
        <f t="shared" ref="J18:J29" si="2">ROUND((F18-H18),5)</f>
        <v>410875.31</v>
      </c>
      <c r="K18" s="18"/>
      <c r="L18" s="10">
        <f t="shared" ref="L18:L29" si="3">ROUND(IF(F18=0, IF(H18=0, 0, SIGN(-H18)), IF(H18=0, SIGN(F18), (F18-H18)/ABS(H18))),5)</f>
        <v>1</v>
      </c>
    </row>
    <row r="19" spans="1:14" x14ac:dyDescent="0.35">
      <c r="A19" s="1"/>
      <c r="B19" s="1"/>
      <c r="C19" s="1"/>
      <c r="D19" s="1"/>
      <c r="E19" s="1" t="s">
        <v>32</v>
      </c>
      <c r="F19" s="23">
        <v>86035.6</v>
      </c>
      <c r="G19" s="18"/>
      <c r="H19" s="3">
        <v>478852.92</v>
      </c>
      <c r="I19" s="18"/>
      <c r="J19" s="3">
        <f t="shared" si="2"/>
        <v>-392817.32</v>
      </c>
      <c r="K19" s="18"/>
      <c r="L19" s="10">
        <f t="shared" si="3"/>
        <v>-0.82033</v>
      </c>
    </row>
    <row r="20" spans="1:14" x14ac:dyDescent="0.35">
      <c r="A20" s="1"/>
      <c r="B20" s="1"/>
      <c r="C20" s="1"/>
      <c r="D20" s="1"/>
      <c r="E20" s="1" t="s">
        <v>23</v>
      </c>
      <c r="F20" s="23">
        <v>764.4</v>
      </c>
      <c r="G20" s="18"/>
      <c r="H20" s="3">
        <v>87344.44</v>
      </c>
      <c r="I20" s="18"/>
      <c r="J20" s="3">
        <f t="shared" si="2"/>
        <v>-86580.04</v>
      </c>
      <c r="K20" s="18"/>
      <c r="L20" s="10">
        <f t="shared" si="3"/>
        <v>-0.99124999999999996</v>
      </c>
    </row>
    <row r="21" spans="1:14" x14ac:dyDescent="0.35">
      <c r="A21" s="1"/>
      <c r="B21" s="1"/>
      <c r="C21" s="1"/>
      <c r="D21" s="1"/>
      <c r="E21" s="1" t="s">
        <v>24</v>
      </c>
      <c r="F21" s="23">
        <v>259.83999999999997</v>
      </c>
      <c r="G21" s="18"/>
      <c r="H21" s="3">
        <v>11270.98</v>
      </c>
      <c r="I21" s="18"/>
      <c r="J21" s="3">
        <f t="shared" si="2"/>
        <v>-11011.14</v>
      </c>
      <c r="K21" s="18"/>
      <c r="L21" s="10">
        <f t="shared" si="3"/>
        <v>-0.97694999999999999</v>
      </c>
    </row>
    <row r="22" spans="1:14" ht="15" thickBot="1" x14ac:dyDescent="0.4">
      <c r="A22" s="1"/>
      <c r="B22" s="1"/>
      <c r="C22" s="1"/>
      <c r="D22" s="1"/>
      <c r="E22" s="1" t="s">
        <v>25</v>
      </c>
      <c r="F22" s="24">
        <v>0</v>
      </c>
      <c r="G22" s="18"/>
      <c r="H22" s="4">
        <v>1335.72</v>
      </c>
      <c r="I22" s="18"/>
      <c r="J22" s="4">
        <f t="shared" si="2"/>
        <v>-1335.72</v>
      </c>
      <c r="K22" s="18"/>
      <c r="L22" s="11">
        <f t="shared" si="3"/>
        <v>-1</v>
      </c>
    </row>
    <row r="23" spans="1:14" x14ac:dyDescent="0.35">
      <c r="A23" s="1"/>
      <c r="B23" s="1"/>
      <c r="C23" s="1"/>
      <c r="D23" s="1" t="s">
        <v>5</v>
      </c>
      <c r="E23" s="1"/>
      <c r="F23" s="3">
        <f>ROUND(SUM(F17:F22),5)</f>
        <v>497935.15</v>
      </c>
      <c r="G23" s="18"/>
      <c r="H23" s="3">
        <f>ROUND(SUM(H17:H22),5)</f>
        <v>578804.06000000006</v>
      </c>
      <c r="I23" s="18"/>
      <c r="J23" s="3">
        <f t="shared" si="2"/>
        <v>-80868.91</v>
      </c>
      <c r="K23" s="18"/>
      <c r="L23" s="10">
        <f t="shared" si="3"/>
        <v>-0.13972000000000001</v>
      </c>
      <c r="M23" s="33" t="s">
        <v>68</v>
      </c>
      <c r="N23" s="35">
        <f>SUM(F18)</f>
        <v>410875.31</v>
      </c>
    </row>
    <row r="24" spans="1:14" ht="15" thickBot="1" x14ac:dyDescent="0.4">
      <c r="A24" s="1"/>
      <c r="B24" s="1"/>
      <c r="C24" s="1"/>
      <c r="D24" s="1" t="s">
        <v>28</v>
      </c>
      <c r="E24" s="1"/>
      <c r="F24" s="4">
        <v>0</v>
      </c>
      <c r="G24" s="18"/>
      <c r="H24" s="4">
        <v>-4.0999999999999996</v>
      </c>
      <c r="I24" s="18"/>
      <c r="J24" s="4">
        <f t="shared" si="2"/>
        <v>4.0999999999999996</v>
      </c>
      <c r="K24" s="18"/>
      <c r="L24" s="11">
        <f t="shared" si="3"/>
        <v>1</v>
      </c>
      <c r="M24" s="34" t="s">
        <v>69</v>
      </c>
      <c r="N24" s="36">
        <f>SUM(F19:F22)</f>
        <v>87059.839999999997</v>
      </c>
    </row>
    <row r="25" spans="1:14" x14ac:dyDescent="0.35">
      <c r="A25" s="1"/>
      <c r="B25" s="1"/>
      <c r="C25" s="1" t="s">
        <v>6</v>
      </c>
      <c r="D25" s="1"/>
      <c r="E25" s="1"/>
      <c r="F25" s="3">
        <f>ROUND(F4+F16+SUM(F23:F24),5)</f>
        <v>1967925.68</v>
      </c>
      <c r="G25" s="18"/>
      <c r="H25" s="3">
        <f>ROUND(H4+H16+SUM(H23:H24),5)</f>
        <v>2073556</v>
      </c>
      <c r="I25" s="18"/>
      <c r="J25" s="3">
        <f t="shared" si="2"/>
        <v>-105630.32</v>
      </c>
      <c r="K25" s="18"/>
      <c r="L25" s="10">
        <f t="shared" si="3"/>
        <v>-5.0939999999999999E-2</v>
      </c>
    </row>
    <row r="26" spans="1:14" ht="15" thickBot="1" x14ac:dyDescent="0.4">
      <c r="A26" s="1"/>
      <c r="B26" s="1"/>
      <c r="C26" s="1" t="s">
        <v>7</v>
      </c>
      <c r="D26" s="1"/>
      <c r="E26" s="1"/>
      <c r="F26" s="4">
        <v>0</v>
      </c>
      <c r="G26" s="18"/>
      <c r="H26" s="4">
        <v>0</v>
      </c>
      <c r="I26" s="18"/>
      <c r="J26" s="4">
        <f t="shared" si="2"/>
        <v>0</v>
      </c>
      <c r="K26" s="18"/>
      <c r="L26" s="11">
        <f t="shared" si="3"/>
        <v>0</v>
      </c>
    </row>
    <row r="27" spans="1:14" x14ac:dyDescent="0.35">
      <c r="A27" s="1"/>
      <c r="B27" s="1" t="s">
        <v>8</v>
      </c>
      <c r="C27" s="1"/>
      <c r="D27" s="1"/>
      <c r="E27" s="1"/>
      <c r="F27" s="3">
        <f>ROUND(F3+SUM(F25:F26),5)</f>
        <v>1967925.68</v>
      </c>
      <c r="G27" s="18"/>
      <c r="H27" s="3">
        <f>ROUND(H3+SUM(H25:H26),5)</f>
        <v>2073556</v>
      </c>
      <c r="I27" s="18"/>
      <c r="J27" s="3">
        <f t="shared" si="2"/>
        <v>-105630.32</v>
      </c>
      <c r="K27" s="18"/>
      <c r="L27" s="10">
        <f t="shared" si="3"/>
        <v>-5.0939999999999999E-2</v>
      </c>
    </row>
    <row r="28" spans="1:14" ht="15" thickBot="1" x14ac:dyDescent="0.4">
      <c r="A28" s="1"/>
      <c r="B28" s="1" t="s">
        <v>30</v>
      </c>
      <c r="C28" s="1"/>
      <c r="D28" s="1"/>
      <c r="E28" s="1"/>
      <c r="F28" s="3">
        <v>0</v>
      </c>
      <c r="G28" s="18"/>
      <c r="H28" s="3">
        <v>0</v>
      </c>
      <c r="I28" s="18"/>
      <c r="J28" s="3">
        <f t="shared" si="2"/>
        <v>0</v>
      </c>
      <c r="K28" s="18"/>
      <c r="L28" s="10">
        <f t="shared" si="3"/>
        <v>0</v>
      </c>
    </row>
    <row r="29" spans="1:14" s="16" customFormat="1" ht="13.5" thickBot="1" x14ac:dyDescent="0.35">
      <c r="A29" s="1" t="s">
        <v>31</v>
      </c>
      <c r="B29" s="1"/>
      <c r="C29" s="1"/>
      <c r="D29" s="1"/>
      <c r="E29" s="1"/>
      <c r="F29" s="14">
        <f>ROUND(F27-F28,5)</f>
        <v>1967925.68</v>
      </c>
      <c r="G29" s="1"/>
      <c r="H29" s="14">
        <f>ROUND(H27-H28,5)</f>
        <v>2073556</v>
      </c>
      <c r="I29" s="1"/>
      <c r="J29" s="14">
        <f t="shared" si="2"/>
        <v>-105630.32</v>
      </c>
      <c r="K29" s="1"/>
      <c r="L29" s="15">
        <f t="shared" si="3"/>
        <v>-5.0939999999999999E-2</v>
      </c>
    </row>
    <row r="30" spans="1:14" ht="15" thickTop="1" x14ac:dyDescent="0.35"/>
  </sheetData>
  <mergeCells count="1">
    <mergeCell ref="F1:L1"/>
  </mergeCells>
  <pageMargins left="0.7" right="0.7" top="0.75" bottom="0.75" header="0.1" footer="0.3"/>
  <pageSetup orientation="portrait" r:id="rId1"/>
  <headerFooter>
    <oddHeader>&amp;L&amp;"Arial,Bold"&amp;10 8:00 AM
&amp;"Arial,Bold"&amp;10 04/18/21
&amp;"Arial,Bold"&amp;10 Cash Basis&amp;C&amp;"Arial,Bold"&amp;12 Apple Market Order
&amp;"Arial,Bold"&amp;14 Collections Report</oddHeader>
    <oddFooter>&amp;R&amp;"Arial,Bold"&amp;10 Page &amp;P of &amp;N</oddFooter>
  </headerFooter>
  <drawing r:id="rId2"/>
  <legacyDrawing r:id="rId3"/>
  <controls>
    <mc:AlternateContent xmlns:mc="http://schemas.openxmlformats.org/markup-compatibility/2006">
      <mc:Choice Requires="x14">
        <control shapeId="286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25400</xdr:rowOff>
              </to>
            </anchor>
          </controlPr>
        </control>
      </mc:Choice>
      <mc:Fallback>
        <control shapeId="28674" r:id="rId4" name="HEADER"/>
      </mc:Fallback>
    </mc:AlternateContent>
    <mc:AlternateContent xmlns:mc="http://schemas.openxmlformats.org/markup-compatibility/2006">
      <mc:Choice Requires="x14">
        <control shapeId="286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25400</xdr:rowOff>
              </to>
            </anchor>
          </controlPr>
        </control>
      </mc:Choice>
      <mc:Fallback>
        <control shapeId="28673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B2270-4B2F-456F-8F3B-DBA24E1B135C}">
  <sheetPr codeName="Sheet1"/>
  <dimension ref="A1:N27"/>
  <sheetViews>
    <sheetView workbookViewId="0">
      <pane xSplit="5" ySplit="2" topLeftCell="F14" activePane="bottomRight" state="frozenSplit"/>
      <selection pane="topRight" activeCell="F1" sqref="F1"/>
      <selection pane="bottomLeft" activeCell="A3" sqref="A3"/>
      <selection pane="bottomRight" activeCell="F29" sqref="F29"/>
    </sheetView>
  </sheetViews>
  <sheetFormatPr defaultRowHeight="14.5" x14ac:dyDescent="0.35"/>
  <cols>
    <col min="1" max="4" width="3" style="7" customWidth="1"/>
    <col min="5" max="5" width="20" style="7" customWidth="1"/>
    <col min="6" max="6" width="16" style="8" customWidth="1"/>
    <col min="7" max="7" width="2.26953125" style="8" customWidth="1"/>
    <col min="8" max="8" width="14.453125" style="8" bestFit="1" customWidth="1"/>
    <col min="9" max="9" width="2.26953125" style="8" customWidth="1"/>
    <col min="10" max="10" width="12.26953125" style="8" bestFit="1" customWidth="1"/>
    <col min="11" max="11" width="2.26953125" style="8" customWidth="1"/>
    <col min="12" max="12" width="10.453125" style="8" bestFit="1" customWidth="1"/>
    <col min="13" max="13" width="22.54296875" bestFit="1" customWidth="1"/>
    <col min="14" max="14" width="14.54296875" customWidth="1"/>
  </cols>
  <sheetData>
    <row r="1" spans="1:14" ht="16" thickBot="1" x14ac:dyDescent="0.4">
      <c r="A1" s="1"/>
      <c r="B1" s="1"/>
      <c r="C1" s="1"/>
      <c r="D1" s="1"/>
      <c r="E1" s="1"/>
      <c r="F1" s="52" t="s">
        <v>70</v>
      </c>
      <c r="G1" s="52"/>
      <c r="H1" s="52"/>
      <c r="I1" s="52"/>
      <c r="J1" s="52"/>
      <c r="K1" s="52"/>
      <c r="L1" s="52"/>
    </row>
    <row r="2" spans="1:14" s="6" customFormat="1" ht="15.5" thickTop="1" thickBot="1" x14ac:dyDescent="0.4">
      <c r="A2" s="5"/>
      <c r="B2" s="5"/>
      <c r="C2" s="5"/>
      <c r="D2" s="5"/>
      <c r="E2" s="5"/>
      <c r="F2" s="17" t="s">
        <v>35</v>
      </c>
      <c r="G2" s="28"/>
      <c r="H2" s="17" t="s">
        <v>9</v>
      </c>
      <c r="I2" s="19"/>
      <c r="J2" s="17" t="s">
        <v>11</v>
      </c>
      <c r="K2" s="19"/>
      <c r="L2" s="17" t="s">
        <v>12</v>
      </c>
    </row>
    <row r="3" spans="1:14" ht="15" thickTop="1" x14ac:dyDescent="0.35">
      <c r="A3" s="1"/>
      <c r="B3" s="1" t="s">
        <v>0</v>
      </c>
      <c r="C3" s="1"/>
      <c r="D3" s="1"/>
      <c r="E3" s="1"/>
      <c r="F3" s="3"/>
      <c r="G3" s="29"/>
      <c r="H3" s="3"/>
      <c r="I3" s="18"/>
      <c r="J3" s="3"/>
      <c r="K3" s="18"/>
      <c r="L3" s="10"/>
    </row>
    <row r="4" spans="1:14" x14ac:dyDescent="0.35">
      <c r="A4" s="1"/>
      <c r="B4" s="1"/>
      <c r="C4" s="1" t="s">
        <v>1</v>
      </c>
      <c r="D4" s="1"/>
      <c r="E4" s="1"/>
      <c r="F4" s="3"/>
      <c r="G4" s="29"/>
      <c r="H4" s="3"/>
      <c r="I4" s="18"/>
      <c r="J4" s="3"/>
      <c r="K4" s="18"/>
      <c r="L4" s="10"/>
    </row>
    <row r="5" spans="1:14" x14ac:dyDescent="0.35">
      <c r="A5" s="1"/>
      <c r="B5" s="1"/>
      <c r="C5" s="1"/>
      <c r="D5" s="1" t="s">
        <v>2</v>
      </c>
      <c r="E5" s="1"/>
      <c r="F5" s="3"/>
      <c r="G5" s="29"/>
      <c r="H5" s="3"/>
      <c r="I5" s="18"/>
      <c r="J5" s="3"/>
      <c r="K5" s="18"/>
      <c r="L5" s="10"/>
    </row>
    <row r="6" spans="1:14" x14ac:dyDescent="0.35">
      <c r="A6" s="1"/>
      <c r="B6" s="1"/>
      <c r="C6" s="1"/>
      <c r="D6" s="1"/>
      <c r="E6" s="25" t="s">
        <v>34</v>
      </c>
      <c r="F6" s="22">
        <v>1008640.3</v>
      </c>
      <c r="G6" s="29"/>
      <c r="H6" s="3">
        <v>0</v>
      </c>
      <c r="I6" s="18"/>
      <c r="J6" s="3">
        <f t="shared" ref="J6:J14" si="0">ROUND((F6-H6),5)</f>
        <v>1008640.3</v>
      </c>
      <c r="K6" s="18"/>
      <c r="L6" s="10">
        <f t="shared" ref="L6:L14" si="1">ROUND(IF(F6=0, IF(H6=0, 0, SIGN(-H6)), IF(H6=0, SIGN(F6), (F6-H6)/ABS(H6))),5)</f>
        <v>1</v>
      </c>
    </row>
    <row r="7" spans="1:14" x14ac:dyDescent="0.35">
      <c r="A7" s="1"/>
      <c r="B7" s="1"/>
      <c r="C7" s="1"/>
      <c r="D7" s="1"/>
      <c r="E7" s="1" t="s">
        <v>13</v>
      </c>
      <c r="F7" s="23">
        <v>406226.2</v>
      </c>
      <c r="G7" s="29"/>
      <c r="H7" s="3">
        <v>1095309.5900000001</v>
      </c>
      <c r="I7" s="18"/>
      <c r="J7" s="3">
        <f t="shared" si="0"/>
        <v>-689083.39</v>
      </c>
      <c r="K7" s="18"/>
      <c r="L7" s="10">
        <f t="shared" si="1"/>
        <v>-0.62912000000000001</v>
      </c>
    </row>
    <row r="8" spans="1:14" x14ac:dyDescent="0.35">
      <c r="A8" s="1"/>
      <c r="B8" s="1"/>
      <c r="C8" s="1"/>
      <c r="D8" s="1"/>
      <c r="E8" s="1" t="s">
        <v>14</v>
      </c>
      <c r="F8" s="23">
        <v>41127.040000000001</v>
      </c>
      <c r="G8" s="29"/>
      <c r="H8" s="3">
        <v>229486.65</v>
      </c>
      <c r="I8" s="18"/>
      <c r="J8" s="3">
        <f t="shared" si="0"/>
        <v>-188359.61</v>
      </c>
      <c r="K8" s="18"/>
      <c r="L8" s="10">
        <f t="shared" si="1"/>
        <v>-0.82079000000000002</v>
      </c>
    </row>
    <row r="9" spans="1:14" x14ac:dyDescent="0.35">
      <c r="A9" s="1"/>
      <c r="B9" s="1"/>
      <c r="C9" s="1"/>
      <c r="D9" s="1"/>
      <c r="E9" s="25" t="s">
        <v>33</v>
      </c>
      <c r="F9" s="22">
        <v>38281.11</v>
      </c>
      <c r="G9" s="29"/>
      <c r="H9" s="3">
        <v>0</v>
      </c>
      <c r="I9" s="18"/>
      <c r="J9" s="3">
        <f t="shared" si="0"/>
        <v>38281.11</v>
      </c>
      <c r="K9" s="18"/>
      <c r="L9" s="10">
        <f t="shared" si="1"/>
        <v>1</v>
      </c>
    </row>
    <row r="10" spans="1:14" x14ac:dyDescent="0.35">
      <c r="A10" s="1"/>
      <c r="B10" s="1"/>
      <c r="C10" s="1"/>
      <c r="D10" s="1"/>
      <c r="E10" s="1" t="s">
        <v>15</v>
      </c>
      <c r="F10" s="23">
        <v>5956.1</v>
      </c>
      <c r="G10" s="29"/>
      <c r="H10" s="3">
        <v>40573.47</v>
      </c>
      <c r="I10" s="18"/>
      <c r="J10" s="3">
        <f t="shared" si="0"/>
        <v>-34617.370000000003</v>
      </c>
      <c r="K10" s="18"/>
      <c r="L10" s="10">
        <f t="shared" si="1"/>
        <v>-0.85319999999999996</v>
      </c>
    </row>
    <row r="11" spans="1:14" x14ac:dyDescent="0.35">
      <c r="A11" s="1"/>
      <c r="B11" s="1"/>
      <c r="C11" s="1"/>
      <c r="D11" s="1"/>
      <c r="E11" s="1" t="s">
        <v>18</v>
      </c>
      <c r="F11" s="23">
        <v>2093.12</v>
      </c>
      <c r="G11" s="29"/>
      <c r="H11" s="3">
        <v>103.67</v>
      </c>
      <c r="I11" s="18"/>
      <c r="J11" s="3">
        <f t="shared" si="0"/>
        <v>1989.45</v>
      </c>
      <c r="K11" s="18"/>
      <c r="L11" s="10">
        <f t="shared" si="1"/>
        <v>19.19022</v>
      </c>
    </row>
    <row r="12" spans="1:14" x14ac:dyDescent="0.35">
      <c r="A12" s="1"/>
      <c r="B12" s="1"/>
      <c r="C12" s="1"/>
      <c r="D12" s="1"/>
      <c r="E12" s="1" t="s">
        <v>17</v>
      </c>
      <c r="F12" s="23">
        <v>1575.92</v>
      </c>
      <c r="G12" s="29"/>
      <c r="H12" s="3">
        <v>4704.71</v>
      </c>
      <c r="I12" s="18"/>
      <c r="J12" s="3">
        <f t="shared" si="0"/>
        <v>-3128.79</v>
      </c>
      <c r="K12" s="18"/>
      <c r="L12" s="10">
        <f t="shared" si="1"/>
        <v>-0.66503000000000001</v>
      </c>
    </row>
    <row r="13" spans="1:14" ht="15" thickBot="1" x14ac:dyDescent="0.4">
      <c r="A13" s="1"/>
      <c r="B13" s="1"/>
      <c r="C13" s="1"/>
      <c r="D13" s="1"/>
      <c r="E13" s="1" t="s">
        <v>16</v>
      </c>
      <c r="F13" s="24">
        <v>0</v>
      </c>
      <c r="G13" s="29"/>
      <c r="H13" s="4">
        <v>6192.8</v>
      </c>
      <c r="I13" s="18"/>
      <c r="J13" s="4">
        <f t="shared" si="0"/>
        <v>-6192.8</v>
      </c>
      <c r="K13" s="18"/>
      <c r="L13" s="11">
        <f t="shared" si="1"/>
        <v>-1</v>
      </c>
    </row>
    <row r="14" spans="1:14" x14ac:dyDescent="0.35">
      <c r="A14" s="1"/>
      <c r="B14" s="1"/>
      <c r="C14" s="1"/>
      <c r="D14" s="1" t="s">
        <v>3</v>
      </c>
      <c r="E14" s="1"/>
      <c r="F14" s="3">
        <f>ROUND(F5+F9+SUM(F6:F7)+F10+F8+F12+F11+F13,5)</f>
        <v>1503899.79</v>
      </c>
      <c r="G14" s="29"/>
      <c r="H14" s="3">
        <f>ROUND(H5+H9+SUM(H6:H7)+H10+H8+H12+H11+H13,5)</f>
        <v>1376370.89</v>
      </c>
      <c r="I14" s="18"/>
      <c r="J14" s="3">
        <f t="shared" si="0"/>
        <v>127528.9</v>
      </c>
      <c r="K14" s="18"/>
      <c r="L14" s="10">
        <f t="shared" si="1"/>
        <v>9.2660000000000006E-2</v>
      </c>
      <c r="M14" s="33" t="s">
        <v>66</v>
      </c>
      <c r="N14" s="35">
        <f>SUM(F6,F9)</f>
        <v>1046921.41</v>
      </c>
    </row>
    <row r="15" spans="1:14" x14ac:dyDescent="0.35">
      <c r="A15" s="1"/>
      <c r="B15" s="1"/>
      <c r="C15" s="1"/>
      <c r="D15" s="1" t="s">
        <v>4</v>
      </c>
      <c r="E15" s="1"/>
      <c r="F15" s="3"/>
      <c r="G15" s="29"/>
      <c r="H15" s="3"/>
      <c r="I15" s="18"/>
      <c r="J15" s="3"/>
      <c r="K15" s="18"/>
      <c r="L15" s="10"/>
      <c r="M15" s="34" t="s">
        <v>67</v>
      </c>
      <c r="N15" s="36">
        <f>SUM(F7:F8,F10:F13)</f>
        <v>456978.37999999995</v>
      </c>
    </row>
    <row r="16" spans="1:14" x14ac:dyDescent="0.35">
      <c r="A16" s="1"/>
      <c r="B16" s="1"/>
      <c r="C16" s="1"/>
      <c r="D16" s="1"/>
      <c r="E16" s="25" t="s">
        <v>32</v>
      </c>
      <c r="F16" s="22">
        <v>478852.92</v>
      </c>
      <c r="G16" s="29"/>
      <c r="H16" s="3">
        <v>0</v>
      </c>
      <c r="I16" s="18"/>
      <c r="J16" s="3">
        <f t="shared" ref="J16:J26" si="2">ROUND((F16-H16),5)</f>
        <v>478852.92</v>
      </c>
      <c r="K16" s="18"/>
      <c r="L16" s="10">
        <f t="shared" ref="L16:L26" si="3">ROUND(IF(F16=0, IF(H16=0, 0, SIGN(-H16)), IF(H16=0, SIGN(F16), (F16-H16)/ABS(H16))),5)</f>
        <v>1</v>
      </c>
    </row>
    <row r="17" spans="1:14" x14ac:dyDescent="0.35">
      <c r="A17" s="1"/>
      <c r="B17" s="1"/>
      <c r="C17" s="1"/>
      <c r="D17" s="1"/>
      <c r="E17" s="1" t="s">
        <v>23</v>
      </c>
      <c r="F17" s="23">
        <v>87775.6</v>
      </c>
      <c r="G17" s="29"/>
      <c r="H17" s="3">
        <v>456104.75</v>
      </c>
      <c r="I17" s="18"/>
      <c r="J17" s="3">
        <f t="shared" si="2"/>
        <v>-368329.15</v>
      </c>
      <c r="K17" s="18"/>
      <c r="L17" s="10">
        <f t="shared" si="3"/>
        <v>-0.80754999999999999</v>
      </c>
    </row>
    <row r="18" spans="1:14" x14ac:dyDescent="0.35">
      <c r="A18" s="1"/>
      <c r="B18" s="1"/>
      <c r="C18" s="1"/>
      <c r="D18" s="1"/>
      <c r="E18" s="1" t="s">
        <v>24</v>
      </c>
      <c r="F18" s="23">
        <v>11270.98</v>
      </c>
      <c r="G18" s="29"/>
      <c r="H18" s="3">
        <v>38698.81</v>
      </c>
      <c r="I18" s="18"/>
      <c r="J18" s="3">
        <f t="shared" si="2"/>
        <v>-27427.83</v>
      </c>
      <c r="K18" s="18"/>
      <c r="L18" s="10">
        <f t="shared" si="3"/>
        <v>-0.70874999999999999</v>
      </c>
    </row>
    <row r="19" spans="1:14" ht="15" thickBot="1" x14ac:dyDescent="0.4">
      <c r="A19" s="1"/>
      <c r="B19" s="1"/>
      <c r="C19" s="1"/>
      <c r="D19" s="1"/>
      <c r="E19" s="1" t="s">
        <v>25</v>
      </c>
      <c r="F19" s="24">
        <v>904.56</v>
      </c>
      <c r="G19" s="29"/>
      <c r="H19" s="4">
        <v>2896.58</v>
      </c>
      <c r="I19" s="18"/>
      <c r="J19" s="4">
        <f t="shared" si="2"/>
        <v>-1992.02</v>
      </c>
      <c r="K19" s="18"/>
      <c r="L19" s="11">
        <f t="shared" si="3"/>
        <v>-0.68771000000000004</v>
      </c>
    </row>
    <row r="20" spans="1:14" x14ac:dyDescent="0.35">
      <c r="A20" s="1"/>
      <c r="B20" s="1"/>
      <c r="C20" s="1"/>
      <c r="D20" s="1" t="s">
        <v>5</v>
      </c>
      <c r="E20" s="1"/>
      <c r="F20" s="3">
        <f>ROUND(SUM(F15:F19),5)</f>
        <v>578804.06000000006</v>
      </c>
      <c r="G20" s="29"/>
      <c r="H20" s="3">
        <f>ROUND(SUM(H15:H19),5)</f>
        <v>497700.14</v>
      </c>
      <c r="I20" s="18"/>
      <c r="J20" s="3">
        <f t="shared" si="2"/>
        <v>81103.92</v>
      </c>
      <c r="K20" s="18"/>
      <c r="L20" s="10">
        <f t="shared" si="3"/>
        <v>0.16295999999999999</v>
      </c>
      <c r="M20" s="33" t="s">
        <v>68</v>
      </c>
      <c r="N20" s="35">
        <f>SUM(F16)</f>
        <v>478852.92</v>
      </c>
    </row>
    <row r="21" spans="1:14" ht="15" thickBot="1" x14ac:dyDescent="0.4">
      <c r="A21" s="1"/>
      <c r="B21" s="1"/>
      <c r="C21" s="1"/>
      <c r="D21" s="1" t="s">
        <v>28</v>
      </c>
      <c r="E21" s="1"/>
      <c r="F21" s="4">
        <v>-1.91</v>
      </c>
      <c r="G21" s="29"/>
      <c r="H21" s="4">
        <v>0</v>
      </c>
      <c r="I21" s="18"/>
      <c r="J21" s="4">
        <f t="shared" si="2"/>
        <v>-1.91</v>
      </c>
      <c r="K21" s="18"/>
      <c r="L21" s="11">
        <f t="shared" si="3"/>
        <v>-1</v>
      </c>
      <c r="M21" s="34" t="s">
        <v>69</v>
      </c>
      <c r="N21" s="36">
        <f>SUM(F17:F19)</f>
        <v>99951.14</v>
      </c>
    </row>
    <row r="22" spans="1:14" x14ac:dyDescent="0.35">
      <c r="A22" s="1"/>
      <c r="B22" s="1"/>
      <c r="C22" s="1" t="s">
        <v>6</v>
      </c>
      <c r="D22" s="1"/>
      <c r="E22" s="1"/>
      <c r="F22" s="3">
        <f>ROUND(F4+F14+SUM(F20:F21),5)</f>
        <v>2082701.94</v>
      </c>
      <c r="G22" s="29"/>
      <c r="H22" s="3">
        <f>ROUND(H4+H14+SUM(H20:H21),5)</f>
        <v>1874071.03</v>
      </c>
      <c r="I22" s="18"/>
      <c r="J22" s="3">
        <f t="shared" si="2"/>
        <v>208630.91</v>
      </c>
      <c r="K22" s="18"/>
      <c r="L22" s="10">
        <f t="shared" si="3"/>
        <v>0.11132</v>
      </c>
    </row>
    <row r="23" spans="1:14" ht="15" thickBot="1" x14ac:dyDescent="0.4">
      <c r="A23" s="1"/>
      <c r="B23" s="1"/>
      <c r="C23" s="1" t="s">
        <v>7</v>
      </c>
      <c r="D23" s="1"/>
      <c r="E23" s="1"/>
      <c r="F23" s="4">
        <v>0</v>
      </c>
      <c r="G23" s="29"/>
      <c r="H23" s="4">
        <v>6.45</v>
      </c>
      <c r="I23" s="18"/>
      <c r="J23" s="4">
        <f t="shared" si="2"/>
        <v>-6.45</v>
      </c>
      <c r="K23" s="18"/>
      <c r="L23" s="11">
        <f t="shared" si="3"/>
        <v>-1</v>
      </c>
    </row>
    <row r="24" spans="1:14" x14ac:dyDescent="0.35">
      <c r="A24" s="1"/>
      <c r="B24" s="1" t="s">
        <v>8</v>
      </c>
      <c r="C24" s="1"/>
      <c r="D24" s="1"/>
      <c r="E24" s="1"/>
      <c r="F24" s="3">
        <f>ROUND(F3+SUM(F22:F23),5)</f>
        <v>2082701.94</v>
      </c>
      <c r="G24" s="29"/>
      <c r="H24" s="3">
        <f>ROUND(H3+SUM(H22:H23),5)</f>
        <v>1874077.48</v>
      </c>
      <c r="I24" s="18"/>
      <c r="J24" s="3">
        <f t="shared" si="2"/>
        <v>208624.46</v>
      </c>
      <c r="K24" s="18"/>
      <c r="L24" s="10">
        <f t="shared" si="3"/>
        <v>0.11132</v>
      </c>
    </row>
    <row r="25" spans="1:14" ht="15" thickBot="1" x14ac:dyDescent="0.4">
      <c r="A25" s="1"/>
      <c r="B25" s="1" t="s">
        <v>30</v>
      </c>
      <c r="C25" s="1"/>
      <c r="D25" s="1"/>
      <c r="E25" s="1"/>
      <c r="F25" s="12">
        <v>0</v>
      </c>
      <c r="G25" s="29"/>
      <c r="H25" s="12">
        <v>0</v>
      </c>
      <c r="I25" s="18"/>
      <c r="J25" s="12">
        <f t="shared" si="2"/>
        <v>0</v>
      </c>
      <c r="K25" s="18"/>
      <c r="L25" s="13">
        <f t="shared" si="3"/>
        <v>0</v>
      </c>
    </row>
    <row r="26" spans="1:14" s="16" customFormat="1" ht="13.5" thickBot="1" x14ac:dyDescent="0.35">
      <c r="A26" s="1" t="s">
        <v>31</v>
      </c>
      <c r="B26" s="1"/>
      <c r="C26" s="1"/>
      <c r="D26" s="1"/>
      <c r="E26" s="1"/>
      <c r="F26" s="14">
        <f>ROUND(F24-F25,5)</f>
        <v>2082701.94</v>
      </c>
      <c r="G26" s="30"/>
      <c r="H26" s="14">
        <f>ROUND(H24-H25,5)</f>
        <v>1874077.48</v>
      </c>
      <c r="I26" s="1"/>
      <c r="J26" s="14">
        <f t="shared" si="2"/>
        <v>208624.46</v>
      </c>
      <c r="K26" s="1"/>
      <c r="L26" s="15">
        <f t="shared" si="3"/>
        <v>0.11132</v>
      </c>
    </row>
    <row r="27" spans="1:14" ht="15" thickTop="1" x14ac:dyDescent="0.35"/>
  </sheetData>
  <mergeCells count="1">
    <mergeCell ref="F1:L1"/>
  </mergeCells>
  <pageMargins left="0.7" right="0.7" top="0.75" bottom="0.75" header="0.1" footer="0.3"/>
  <pageSetup orientation="portrait" horizontalDpi="4294967295" verticalDpi="4294967295" r:id="rId1"/>
  <headerFooter>
    <oddHeader>&amp;L&amp;"Arial,Bold"&amp;10 2:07 PM
&amp;"Arial,Bold"&amp;10 06/26/19
&amp;"Arial,Bold"&amp;10 Cash Basis&amp;C&amp;"Arial,Bold"&amp;12 Apple Market Order
&amp;"Arial,Bold"&amp;14 Collections Report</oddHeader>
    <oddFooter>&amp;R&amp;"Arial,Bold"&amp;10 Page &amp;P of &amp;N</oddFooter>
  </headerFooter>
  <drawing r:id="rId2"/>
  <legacyDrawing r:id="rId3"/>
  <controls>
    <mc:AlternateContent xmlns:mc="http://schemas.openxmlformats.org/markup-compatibility/2006">
      <mc:Choice Requires="x14">
        <control shapeId="2252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25400</xdr:rowOff>
              </to>
            </anchor>
          </controlPr>
        </control>
      </mc:Choice>
      <mc:Fallback>
        <control shapeId="22529" r:id="rId4" name="FILTER"/>
      </mc:Fallback>
    </mc:AlternateContent>
    <mc:AlternateContent xmlns:mc="http://schemas.openxmlformats.org/markup-compatibility/2006">
      <mc:Choice Requires="x14">
        <control shapeId="2253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25400</xdr:rowOff>
              </to>
            </anchor>
          </controlPr>
        </control>
      </mc:Choice>
      <mc:Fallback>
        <control shapeId="22530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90B74-452C-4721-AC0B-2C4BA9D579FF}">
  <sheetPr codeName="Sheet2"/>
  <dimension ref="A1:N31"/>
  <sheetViews>
    <sheetView workbookViewId="0">
      <pane xSplit="5" ySplit="2" topLeftCell="F18" activePane="bottomRight" state="frozenSplit"/>
      <selection pane="topRight" activeCell="F1" sqref="F1"/>
      <selection pane="bottomLeft" activeCell="A3" sqref="A3"/>
      <selection pane="bottomRight" activeCell="F1" sqref="F1:L1"/>
    </sheetView>
  </sheetViews>
  <sheetFormatPr defaultRowHeight="14.5" x14ac:dyDescent="0.35"/>
  <cols>
    <col min="1" max="4" width="3" style="7" customWidth="1"/>
    <col min="5" max="5" width="20.7265625" style="7" customWidth="1"/>
    <col min="6" max="6" width="15.54296875" style="8" customWidth="1"/>
    <col min="7" max="7" width="2.26953125" style="8" customWidth="1"/>
    <col min="8" max="8" width="14.453125" style="8" bestFit="1" customWidth="1"/>
    <col min="9" max="9" width="2.26953125" style="8" customWidth="1"/>
    <col min="10" max="10" width="12.26953125" style="8" bestFit="1" customWidth="1"/>
    <col min="11" max="11" width="2.26953125" style="8" customWidth="1"/>
    <col min="12" max="12" width="10" style="8" bestFit="1" customWidth="1"/>
    <col min="13" max="13" width="22.54296875" bestFit="1" customWidth="1"/>
    <col min="14" max="14" width="12.453125" bestFit="1" customWidth="1"/>
  </cols>
  <sheetData>
    <row r="1" spans="1:14" ht="16" thickBot="1" x14ac:dyDescent="0.4">
      <c r="A1" s="1"/>
      <c r="B1" s="1"/>
      <c r="C1" s="1"/>
      <c r="D1" s="1"/>
      <c r="E1" s="1"/>
      <c r="F1" s="52" t="s">
        <v>72</v>
      </c>
      <c r="G1" s="52"/>
      <c r="H1" s="52"/>
      <c r="I1" s="52"/>
      <c r="J1" s="52"/>
      <c r="K1" s="52"/>
      <c r="L1" s="52"/>
    </row>
    <row r="2" spans="1:14" s="6" customFormat="1" ht="15.5" thickTop="1" thickBot="1" x14ac:dyDescent="0.4">
      <c r="A2" s="5"/>
      <c r="B2" s="5"/>
      <c r="C2" s="5"/>
      <c r="D2" s="5"/>
      <c r="E2" s="5"/>
      <c r="F2" s="17" t="s">
        <v>9</v>
      </c>
      <c r="G2" s="28"/>
      <c r="H2" s="17" t="s">
        <v>10</v>
      </c>
      <c r="I2" s="19"/>
      <c r="J2" s="17" t="s">
        <v>11</v>
      </c>
      <c r="K2" s="19"/>
      <c r="L2" s="17" t="s">
        <v>12</v>
      </c>
    </row>
    <row r="3" spans="1:14" ht="15" thickTop="1" x14ac:dyDescent="0.35">
      <c r="A3" s="1"/>
      <c r="B3" s="1" t="s">
        <v>0</v>
      </c>
      <c r="C3" s="1"/>
      <c r="D3" s="1"/>
      <c r="E3" s="1"/>
      <c r="F3" s="3"/>
      <c r="G3" s="29"/>
      <c r="H3" s="3"/>
      <c r="I3" s="18"/>
      <c r="J3" s="3"/>
      <c r="K3" s="18"/>
      <c r="L3" s="10"/>
    </row>
    <row r="4" spans="1:14" x14ac:dyDescent="0.35">
      <c r="A4" s="1"/>
      <c r="B4" s="1"/>
      <c r="C4" s="1" t="s">
        <v>1</v>
      </c>
      <c r="D4" s="1"/>
      <c r="E4" s="1"/>
      <c r="F4" s="3"/>
      <c r="G4" s="29"/>
      <c r="H4" s="3"/>
      <c r="I4" s="18"/>
      <c r="J4" s="3"/>
      <c r="K4" s="18"/>
      <c r="L4" s="10"/>
    </row>
    <row r="5" spans="1:14" x14ac:dyDescent="0.35">
      <c r="A5" s="1"/>
      <c r="B5" s="1"/>
      <c r="C5" s="1"/>
      <c r="D5" s="1" t="s">
        <v>2</v>
      </c>
      <c r="E5" s="1"/>
      <c r="F5" s="3"/>
      <c r="G5" s="29"/>
      <c r="H5" s="3"/>
      <c r="I5" s="18"/>
      <c r="J5" s="3"/>
      <c r="K5" s="18"/>
      <c r="L5" s="10"/>
    </row>
    <row r="6" spans="1:14" x14ac:dyDescent="0.35">
      <c r="A6" s="1"/>
      <c r="B6" s="1"/>
      <c r="C6" s="1"/>
      <c r="D6" s="1"/>
      <c r="E6" s="25" t="s">
        <v>13</v>
      </c>
      <c r="F6" s="22">
        <v>1095309.5900000001</v>
      </c>
      <c r="G6" s="29"/>
      <c r="H6" s="3">
        <v>0</v>
      </c>
      <c r="I6" s="18"/>
      <c r="J6" s="3">
        <f t="shared" ref="J6:J16" si="0">ROUND((F6-H6),5)</f>
        <v>1095309.5900000001</v>
      </c>
      <c r="K6" s="18"/>
      <c r="L6" s="10">
        <f t="shared" ref="L6:L16" si="1">ROUND(IF(F6=0, IF(H6=0, 0, SIGN(-H6)), IF(H6=0, SIGN(F6), (F6-H6)/ABS(H6))),5)</f>
        <v>1</v>
      </c>
    </row>
    <row r="7" spans="1:14" x14ac:dyDescent="0.35">
      <c r="A7" s="1"/>
      <c r="B7" s="1"/>
      <c r="C7" s="1"/>
      <c r="D7" s="1"/>
      <c r="E7" s="1" t="s">
        <v>14</v>
      </c>
      <c r="F7" s="23">
        <v>229486.65</v>
      </c>
      <c r="G7" s="29"/>
      <c r="H7" s="3">
        <v>923408.84</v>
      </c>
      <c r="I7" s="18"/>
      <c r="J7" s="3">
        <f t="shared" si="0"/>
        <v>-693922.19</v>
      </c>
      <c r="K7" s="18"/>
      <c r="L7" s="10">
        <f t="shared" si="1"/>
        <v>-0.75148000000000004</v>
      </c>
    </row>
    <row r="8" spans="1:14" x14ac:dyDescent="0.35">
      <c r="A8" s="1"/>
      <c r="B8" s="1"/>
      <c r="C8" s="1"/>
      <c r="D8" s="1"/>
      <c r="E8" s="25" t="s">
        <v>15</v>
      </c>
      <c r="F8" s="22">
        <v>40573.47</v>
      </c>
      <c r="G8" s="29"/>
      <c r="H8" s="3">
        <v>0</v>
      </c>
      <c r="I8" s="18"/>
      <c r="J8" s="3">
        <f t="shared" si="0"/>
        <v>40573.47</v>
      </c>
      <c r="K8" s="18"/>
      <c r="L8" s="10">
        <f t="shared" si="1"/>
        <v>1</v>
      </c>
    </row>
    <row r="9" spans="1:14" x14ac:dyDescent="0.35">
      <c r="A9" s="1"/>
      <c r="B9" s="1"/>
      <c r="C9" s="1"/>
      <c r="D9" s="1"/>
      <c r="E9" s="1" t="s">
        <v>16</v>
      </c>
      <c r="F9" s="23">
        <v>6192.8</v>
      </c>
      <c r="G9" s="29"/>
      <c r="H9" s="3">
        <v>466741.26</v>
      </c>
      <c r="I9" s="18"/>
      <c r="J9" s="3">
        <f t="shared" si="0"/>
        <v>-460548.46</v>
      </c>
      <c r="K9" s="18"/>
      <c r="L9" s="10">
        <f t="shared" si="1"/>
        <v>-0.98673</v>
      </c>
    </row>
    <row r="10" spans="1:14" x14ac:dyDescent="0.35">
      <c r="A10" s="1"/>
      <c r="B10" s="1"/>
      <c r="C10" s="1"/>
      <c r="D10" s="1"/>
      <c r="E10" s="1" t="s">
        <v>17</v>
      </c>
      <c r="F10" s="23">
        <v>4704.71</v>
      </c>
      <c r="G10" s="29"/>
      <c r="H10" s="3">
        <v>33938.74</v>
      </c>
      <c r="I10" s="18"/>
      <c r="J10" s="3">
        <f t="shared" si="0"/>
        <v>-29234.03</v>
      </c>
      <c r="K10" s="18"/>
      <c r="L10" s="10">
        <f t="shared" si="1"/>
        <v>-0.86138000000000003</v>
      </c>
    </row>
    <row r="11" spans="1:14" x14ac:dyDescent="0.35">
      <c r="A11" s="1"/>
      <c r="B11" s="1"/>
      <c r="C11" s="1"/>
      <c r="D11" s="1"/>
      <c r="E11" s="1" t="s">
        <v>18</v>
      </c>
      <c r="F11" s="23">
        <v>103.67</v>
      </c>
      <c r="G11" s="29"/>
      <c r="H11" s="3">
        <v>14509.49</v>
      </c>
      <c r="I11" s="18"/>
      <c r="J11" s="3">
        <f t="shared" si="0"/>
        <v>-14405.82</v>
      </c>
      <c r="K11" s="18"/>
      <c r="L11" s="10">
        <f t="shared" si="1"/>
        <v>-0.99285999999999996</v>
      </c>
    </row>
    <row r="12" spans="1:14" x14ac:dyDescent="0.35">
      <c r="A12" s="1"/>
      <c r="B12" s="1"/>
      <c r="C12" s="1"/>
      <c r="D12" s="1"/>
      <c r="E12" s="1" t="s">
        <v>19</v>
      </c>
      <c r="F12" s="23">
        <v>0</v>
      </c>
      <c r="G12" s="29"/>
      <c r="H12" s="3">
        <v>640</v>
      </c>
      <c r="I12" s="18"/>
      <c r="J12" s="3">
        <f t="shared" si="0"/>
        <v>-640</v>
      </c>
      <c r="K12" s="18"/>
      <c r="L12" s="10">
        <f t="shared" si="1"/>
        <v>-1</v>
      </c>
    </row>
    <row r="13" spans="1:14" x14ac:dyDescent="0.35">
      <c r="A13" s="1"/>
      <c r="B13" s="1"/>
      <c r="C13" s="1"/>
      <c r="D13" s="1"/>
      <c r="E13" s="1" t="s">
        <v>20</v>
      </c>
      <c r="F13" s="23">
        <v>0</v>
      </c>
      <c r="G13" s="29"/>
      <c r="H13" s="3">
        <v>2598.88</v>
      </c>
      <c r="I13" s="18"/>
      <c r="J13" s="3">
        <f t="shared" si="0"/>
        <v>-2598.88</v>
      </c>
      <c r="K13" s="18"/>
      <c r="L13" s="10">
        <f t="shared" si="1"/>
        <v>-1</v>
      </c>
    </row>
    <row r="14" spans="1:14" x14ac:dyDescent="0.35">
      <c r="A14" s="1"/>
      <c r="B14" s="1"/>
      <c r="C14" s="1"/>
      <c r="D14" s="1"/>
      <c r="E14" s="1" t="s">
        <v>21</v>
      </c>
      <c r="F14" s="23">
        <v>0</v>
      </c>
      <c r="G14" s="29"/>
      <c r="H14" s="3">
        <v>12708.63</v>
      </c>
      <c r="I14" s="18"/>
      <c r="J14" s="3">
        <f t="shared" si="0"/>
        <v>-12708.63</v>
      </c>
      <c r="K14" s="18"/>
      <c r="L14" s="10">
        <f t="shared" si="1"/>
        <v>-1</v>
      </c>
    </row>
    <row r="15" spans="1:14" ht="15" thickBot="1" x14ac:dyDescent="0.4">
      <c r="A15" s="1"/>
      <c r="B15" s="1"/>
      <c r="C15" s="1"/>
      <c r="D15" s="1"/>
      <c r="E15" s="1" t="s">
        <v>22</v>
      </c>
      <c r="F15" s="24">
        <v>0</v>
      </c>
      <c r="G15" s="29"/>
      <c r="H15" s="4">
        <v>1280</v>
      </c>
      <c r="I15" s="18"/>
      <c r="J15" s="4">
        <f t="shared" si="0"/>
        <v>-1280</v>
      </c>
      <c r="K15" s="18"/>
      <c r="L15" s="11">
        <f t="shared" si="1"/>
        <v>-1</v>
      </c>
    </row>
    <row r="16" spans="1:14" x14ac:dyDescent="0.35">
      <c r="A16" s="1"/>
      <c r="B16" s="1"/>
      <c r="C16" s="1"/>
      <c r="D16" s="1" t="s">
        <v>3</v>
      </c>
      <c r="E16" s="1"/>
      <c r="F16" s="3">
        <f>ROUND(SUM(F5:F6)+F8+F7+SUM(F10:F11)+F9+SUM(F14:F15)+SUM(F12:F13),5)</f>
        <v>1376370.89</v>
      </c>
      <c r="G16" s="29"/>
      <c r="H16" s="3">
        <f>ROUND(SUM(H5:H6)+H8+H7+SUM(H10:H11)+H9+SUM(H14:H15)+SUM(H12:H13),5)</f>
        <v>1455825.84</v>
      </c>
      <c r="I16" s="18"/>
      <c r="J16" s="3">
        <f t="shared" si="0"/>
        <v>-79454.95</v>
      </c>
      <c r="K16" s="18"/>
      <c r="L16" s="10">
        <f t="shared" si="1"/>
        <v>-5.4579999999999997E-2</v>
      </c>
      <c r="M16" s="33" t="s">
        <v>66</v>
      </c>
      <c r="N16" s="35">
        <f>SUM(F6,F8)</f>
        <v>1135883.06</v>
      </c>
    </row>
    <row r="17" spans="1:14" x14ac:dyDescent="0.35">
      <c r="A17" s="1"/>
      <c r="B17" s="1"/>
      <c r="C17" s="1"/>
      <c r="D17" s="1" t="s">
        <v>4</v>
      </c>
      <c r="E17" s="1"/>
      <c r="F17" s="3"/>
      <c r="G17" s="29"/>
      <c r="H17" s="3"/>
      <c r="I17" s="18"/>
      <c r="J17" s="3"/>
      <c r="K17" s="18"/>
      <c r="L17" s="10"/>
      <c r="M17" s="34" t="s">
        <v>67</v>
      </c>
      <c r="N17" s="36">
        <f>SUM(F7,F9:F15)</f>
        <v>240487.83</v>
      </c>
    </row>
    <row r="18" spans="1:14" x14ac:dyDescent="0.35">
      <c r="A18" s="1"/>
      <c r="B18" s="1"/>
      <c r="C18" s="1"/>
      <c r="D18" s="1"/>
      <c r="E18" s="25" t="s">
        <v>23</v>
      </c>
      <c r="F18" s="22">
        <v>456104.75</v>
      </c>
      <c r="G18" s="29"/>
      <c r="H18" s="3">
        <v>0</v>
      </c>
      <c r="I18" s="18"/>
      <c r="J18" s="3">
        <f t="shared" ref="J18:J30" si="2">ROUND((F18-H18),5)</f>
        <v>456104.75</v>
      </c>
      <c r="K18" s="18"/>
      <c r="L18" s="10">
        <f t="shared" ref="L18:L30" si="3">ROUND(IF(F18=0, IF(H18=0, 0, SIGN(-H18)), IF(H18=0, SIGN(F18), (F18-H18)/ABS(H18))),5)</f>
        <v>1</v>
      </c>
    </row>
    <row r="19" spans="1:14" x14ac:dyDescent="0.35">
      <c r="A19" s="1"/>
      <c r="B19" s="1"/>
      <c r="C19" s="1"/>
      <c r="D19" s="1"/>
      <c r="E19" s="1" t="s">
        <v>24</v>
      </c>
      <c r="F19" s="23">
        <v>38698.81</v>
      </c>
      <c r="G19" s="29"/>
      <c r="H19" s="3">
        <v>432412.34</v>
      </c>
      <c r="I19" s="18"/>
      <c r="J19" s="3">
        <f t="shared" si="2"/>
        <v>-393713.53</v>
      </c>
      <c r="K19" s="18"/>
      <c r="L19" s="10">
        <f t="shared" si="3"/>
        <v>-0.91049999999999998</v>
      </c>
    </row>
    <row r="20" spans="1:14" x14ac:dyDescent="0.35">
      <c r="A20" s="1"/>
      <c r="B20" s="1"/>
      <c r="C20" s="1"/>
      <c r="D20" s="1"/>
      <c r="E20" s="1" t="s">
        <v>25</v>
      </c>
      <c r="F20" s="23">
        <v>2896.58</v>
      </c>
      <c r="G20" s="29"/>
      <c r="H20" s="3">
        <v>79397.279999999999</v>
      </c>
      <c r="I20" s="18"/>
      <c r="J20" s="3">
        <f t="shared" si="2"/>
        <v>-76500.7</v>
      </c>
      <c r="K20" s="18"/>
      <c r="L20" s="10">
        <f t="shared" si="3"/>
        <v>-0.96352000000000004</v>
      </c>
    </row>
    <row r="21" spans="1:14" x14ac:dyDescent="0.35">
      <c r="A21" s="1"/>
      <c r="B21" s="1"/>
      <c r="C21" s="1"/>
      <c r="D21" s="1"/>
      <c r="E21" s="1" t="s">
        <v>26</v>
      </c>
      <c r="F21" s="23">
        <v>0</v>
      </c>
      <c r="G21" s="29"/>
      <c r="H21" s="3">
        <v>2110.4499999999998</v>
      </c>
      <c r="I21" s="18"/>
      <c r="J21" s="3">
        <f t="shared" si="2"/>
        <v>-2110.4499999999998</v>
      </c>
      <c r="K21" s="18"/>
      <c r="L21" s="10">
        <f t="shared" si="3"/>
        <v>-1</v>
      </c>
    </row>
    <row r="22" spans="1:14" ht="15" thickBot="1" x14ac:dyDescent="0.4">
      <c r="A22" s="1"/>
      <c r="B22" s="1"/>
      <c r="C22" s="1"/>
      <c r="D22" s="1"/>
      <c r="E22" s="1" t="s">
        <v>27</v>
      </c>
      <c r="F22" s="24">
        <v>0</v>
      </c>
      <c r="G22" s="29"/>
      <c r="H22" s="4">
        <v>1171.2</v>
      </c>
      <c r="I22" s="18"/>
      <c r="J22" s="4">
        <f t="shared" si="2"/>
        <v>-1171.2</v>
      </c>
      <c r="K22" s="18"/>
      <c r="L22" s="11">
        <f t="shared" si="3"/>
        <v>-1</v>
      </c>
    </row>
    <row r="23" spans="1:14" x14ac:dyDescent="0.35">
      <c r="A23" s="1"/>
      <c r="B23" s="1"/>
      <c r="C23" s="1"/>
      <c r="D23" s="1" t="s">
        <v>5</v>
      </c>
      <c r="E23" s="1"/>
      <c r="F23" s="3">
        <f>ROUND(SUM(F17:F22),5)</f>
        <v>497700.14</v>
      </c>
      <c r="G23" s="29"/>
      <c r="H23" s="3">
        <f>ROUND(SUM(H17:H22),5)</f>
        <v>515091.27</v>
      </c>
      <c r="I23" s="18"/>
      <c r="J23" s="3">
        <f t="shared" si="2"/>
        <v>-17391.13</v>
      </c>
      <c r="K23" s="18"/>
      <c r="L23" s="10">
        <f t="shared" si="3"/>
        <v>-3.3759999999999998E-2</v>
      </c>
      <c r="M23" s="33" t="s">
        <v>68</v>
      </c>
      <c r="N23" s="35">
        <f>SUM(F18)</f>
        <v>456104.75</v>
      </c>
    </row>
    <row r="24" spans="1:14" ht="15" thickBot="1" x14ac:dyDescent="0.4">
      <c r="A24" s="1"/>
      <c r="B24" s="1"/>
      <c r="C24" s="1"/>
      <c r="D24" s="1" t="s">
        <v>28</v>
      </c>
      <c r="E24" s="1"/>
      <c r="F24" s="4">
        <v>0</v>
      </c>
      <c r="G24" s="29"/>
      <c r="H24" s="4">
        <v>1326.25</v>
      </c>
      <c r="I24" s="18"/>
      <c r="J24" s="4">
        <f t="shared" si="2"/>
        <v>-1326.25</v>
      </c>
      <c r="K24" s="18"/>
      <c r="L24" s="11">
        <f t="shared" si="3"/>
        <v>-1</v>
      </c>
      <c r="M24" s="34" t="s">
        <v>69</v>
      </c>
      <c r="N24" s="36">
        <f>SUM(F19:F22)</f>
        <v>41595.39</v>
      </c>
    </row>
    <row r="25" spans="1:14" x14ac:dyDescent="0.35">
      <c r="A25" s="1"/>
      <c r="B25" s="1"/>
      <c r="C25" s="1" t="s">
        <v>6</v>
      </c>
      <c r="D25" s="1"/>
      <c r="E25" s="1"/>
      <c r="F25" s="3">
        <f>ROUND(F4+F16+SUM(F23:F24),5)</f>
        <v>1874071.03</v>
      </c>
      <c r="G25" s="29"/>
      <c r="H25" s="3">
        <f>ROUND(H4+H16+SUM(H23:H24),5)</f>
        <v>1972243.36</v>
      </c>
      <c r="I25" s="18"/>
      <c r="J25" s="3">
        <f t="shared" si="2"/>
        <v>-98172.33</v>
      </c>
      <c r="K25" s="18"/>
      <c r="L25" s="10">
        <f t="shared" si="3"/>
        <v>-4.9779999999999998E-2</v>
      </c>
    </row>
    <row r="26" spans="1:14" x14ac:dyDescent="0.35">
      <c r="A26" s="1"/>
      <c r="B26" s="1"/>
      <c r="C26" s="1" t="s">
        <v>7</v>
      </c>
      <c r="D26" s="1"/>
      <c r="E26" s="1"/>
      <c r="F26" s="3">
        <v>6.45</v>
      </c>
      <c r="G26" s="29"/>
      <c r="H26" s="3">
        <v>1547.57</v>
      </c>
      <c r="I26" s="18"/>
      <c r="J26" s="3">
        <f t="shared" si="2"/>
        <v>-1541.12</v>
      </c>
      <c r="K26" s="18"/>
      <c r="L26" s="10">
        <f t="shared" si="3"/>
        <v>-0.99582999999999999</v>
      </c>
    </row>
    <row r="27" spans="1:14" ht="15" thickBot="1" x14ac:dyDescent="0.4">
      <c r="A27" s="1"/>
      <c r="B27" s="1"/>
      <c r="C27" s="1" t="s">
        <v>29</v>
      </c>
      <c r="D27" s="1"/>
      <c r="E27" s="1"/>
      <c r="F27" s="4">
        <v>0</v>
      </c>
      <c r="G27" s="29"/>
      <c r="H27" s="4">
        <v>-70.900000000000006</v>
      </c>
      <c r="I27" s="18"/>
      <c r="J27" s="4">
        <f t="shared" si="2"/>
        <v>70.900000000000006</v>
      </c>
      <c r="K27" s="18"/>
      <c r="L27" s="11">
        <f t="shared" si="3"/>
        <v>1</v>
      </c>
    </row>
    <row r="28" spans="1:14" x14ac:dyDescent="0.35">
      <c r="A28" s="1"/>
      <c r="B28" s="1" t="s">
        <v>8</v>
      </c>
      <c r="C28" s="1"/>
      <c r="D28" s="1"/>
      <c r="E28" s="1"/>
      <c r="F28" s="3">
        <f>ROUND(F3+SUM(F25:F27),5)</f>
        <v>1874077.48</v>
      </c>
      <c r="G28" s="29"/>
      <c r="H28" s="3">
        <f>ROUND(H3+SUM(H25:H27),5)</f>
        <v>1973720.03</v>
      </c>
      <c r="I28" s="18"/>
      <c r="J28" s="3">
        <f t="shared" si="2"/>
        <v>-99642.55</v>
      </c>
      <c r="K28" s="18"/>
      <c r="L28" s="10">
        <f t="shared" si="3"/>
        <v>-5.0479999999999997E-2</v>
      </c>
    </row>
    <row r="29" spans="1:14" ht="15" thickBot="1" x14ac:dyDescent="0.4">
      <c r="A29" s="1"/>
      <c r="B29" s="1" t="s">
        <v>30</v>
      </c>
      <c r="C29" s="1"/>
      <c r="D29" s="1"/>
      <c r="E29" s="1"/>
      <c r="F29" s="12">
        <v>0</v>
      </c>
      <c r="G29" s="29"/>
      <c r="H29" s="12">
        <v>0</v>
      </c>
      <c r="I29" s="18"/>
      <c r="J29" s="12">
        <f t="shared" si="2"/>
        <v>0</v>
      </c>
      <c r="K29" s="18"/>
      <c r="L29" s="13">
        <f t="shared" si="3"/>
        <v>0</v>
      </c>
    </row>
    <row r="30" spans="1:14" s="16" customFormat="1" ht="13.5" thickBot="1" x14ac:dyDescent="0.35">
      <c r="A30" s="1" t="s">
        <v>31</v>
      </c>
      <c r="B30" s="1"/>
      <c r="C30" s="1"/>
      <c r="D30" s="1"/>
      <c r="E30" s="1"/>
      <c r="F30" s="14">
        <f>ROUND(F28-F29,5)</f>
        <v>1874077.48</v>
      </c>
      <c r="G30" s="30"/>
      <c r="H30" s="14">
        <f>ROUND(H28-H29,5)</f>
        <v>1973720.03</v>
      </c>
      <c r="I30" s="1"/>
      <c r="J30" s="14">
        <f t="shared" si="2"/>
        <v>-99642.55</v>
      </c>
      <c r="K30" s="1"/>
      <c r="L30" s="15">
        <f t="shared" si="3"/>
        <v>-5.0479999999999997E-2</v>
      </c>
    </row>
    <row r="31" spans="1:14" ht="15" thickTop="1" x14ac:dyDescent="0.35"/>
  </sheetData>
  <mergeCells count="1">
    <mergeCell ref="F1:L1"/>
  </mergeCells>
  <pageMargins left="0.7" right="0.7" top="0.75" bottom="0.75" header="0.1" footer="0.3"/>
  <pageSetup orientation="portrait" horizontalDpi="4294967295" verticalDpi="4294967295" r:id="rId1"/>
  <headerFooter>
    <oddHeader>&amp;L&amp;"Arial,Bold"&amp;10 2:09 PM
&amp;"Arial,Bold"&amp;10 06/26/19
&amp;"Arial,Bold"&amp;10 Cash Basis&amp;C&amp;"Arial,Bold"&amp;12 Apple Market Order
&amp;"Arial,Bold"&amp;14 Collections Report</oddHeader>
    <oddFooter>&amp;R&amp;"Arial,Bold"&amp;10 Page &amp;P of &amp;N</oddFooter>
  </headerFooter>
  <drawing r:id="rId2"/>
  <legacyDrawing r:id="rId3"/>
  <controls>
    <mc:AlternateContent xmlns:mc="http://schemas.openxmlformats.org/markup-compatibility/2006">
      <mc:Choice Requires="x14">
        <control shapeId="2355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25400</xdr:rowOff>
              </to>
            </anchor>
          </controlPr>
        </control>
      </mc:Choice>
      <mc:Fallback>
        <control shapeId="23553" r:id="rId4" name="FILTER"/>
      </mc:Fallback>
    </mc:AlternateContent>
    <mc:AlternateContent xmlns:mc="http://schemas.openxmlformats.org/markup-compatibility/2006">
      <mc:Choice Requires="x14">
        <control shapeId="2355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25400</xdr:rowOff>
              </to>
            </anchor>
          </controlPr>
        </control>
      </mc:Choice>
      <mc:Fallback>
        <control shapeId="23554" r:id="rId6" name="HEAD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1E996-017B-4D9E-BF9D-C9BFDFEF37BA}">
  <sheetPr codeName="Sheet3"/>
  <dimension ref="A1:N29"/>
  <sheetViews>
    <sheetView workbookViewId="0">
      <pane xSplit="5" ySplit="2" topLeftCell="F16" activePane="bottomRight" state="frozenSplit"/>
      <selection pane="topRight" activeCell="F1" sqref="F1"/>
      <selection pane="bottomLeft" activeCell="A3" sqref="A3"/>
      <selection pane="bottomRight" activeCell="F1" sqref="F1:L1"/>
    </sheetView>
  </sheetViews>
  <sheetFormatPr defaultRowHeight="14.5" x14ac:dyDescent="0.35"/>
  <cols>
    <col min="1" max="4" width="3" style="7" customWidth="1"/>
    <col min="5" max="5" width="20.7265625" style="7" customWidth="1"/>
    <col min="6" max="6" width="15.81640625" style="8" customWidth="1"/>
    <col min="7" max="7" width="2.26953125" style="8" customWidth="1"/>
    <col min="8" max="8" width="14.453125" style="8" bestFit="1" customWidth="1"/>
    <col min="9" max="9" width="2.26953125" style="8" customWidth="1"/>
    <col min="10" max="10" width="11.26953125" style="8" bestFit="1" customWidth="1"/>
    <col min="11" max="11" width="2.26953125" style="8" customWidth="1"/>
    <col min="12" max="12" width="10" style="8" bestFit="1" customWidth="1"/>
    <col min="13" max="13" width="22.54296875" bestFit="1" customWidth="1"/>
    <col min="14" max="14" width="13.81640625" customWidth="1"/>
  </cols>
  <sheetData>
    <row r="1" spans="1:14" ht="16" thickBot="1" x14ac:dyDescent="0.4">
      <c r="A1" s="1"/>
      <c r="B1" s="1"/>
      <c r="C1" s="1"/>
      <c r="D1" s="1"/>
      <c r="E1" s="1"/>
      <c r="F1" s="52" t="s">
        <v>73</v>
      </c>
      <c r="G1" s="52"/>
      <c r="H1" s="52"/>
      <c r="I1" s="52"/>
      <c r="J1" s="52"/>
      <c r="K1" s="52"/>
      <c r="L1" s="52"/>
      <c r="M1" s="27"/>
      <c r="N1" s="27"/>
    </row>
    <row r="2" spans="1:14" s="6" customFormat="1" ht="15.5" thickTop="1" thickBot="1" x14ac:dyDescent="0.4">
      <c r="A2" s="5"/>
      <c r="B2" s="5"/>
      <c r="C2" s="5"/>
      <c r="D2" s="5"/>
      <c r="E2" s="5"/>
      <c r="F2" s="17" t="s">
        <v>10</v>
      </c>
      <c r="G2" s="28"/>
      <c r="H2" s="17" t="s">
        <v>37</v>
      </c>
      <c r="I2" s="19"/>
      <c r="J2" s="17" t="s">
        <v>11</v>
      </c>
      <c r="K2" s="19"/>
      <c r="L2" s="17" t="s">
        <v>12</v>
      </c>
    </row>
    <row r="3" spans="1:14" ht="15" thickTop="1" x14ac:dyDescent="0.35">
      <c r="A3" s="1"/>
      <c r="B3" s="1" t="s">
        <v>0</v>
      </c>
      <c r="C3" s="1"/>
      <c r="D3" s="1"/>
      <c r="E3" s="1"/>
      <c r="F3" s="3"/>
      <c r="G3" s="29"/>
      <c r="H3" s="3"/>
      <c r="I3" s="18"/>
      <c r="J3" s="3"/>
      <c r="K3" s="18"/>
      <c r="L3" s="10"/>
    </row>
    <row r="4" spans="1:14" x14ac:dyDescent="0.35">
      <c r="A4" s="1"/>
      <c r="B4" s="1"/>
      <c r="C4" s="1" t="s">
        <v>1</v>
      </c>
      <c r="D4" s="1"/>
      <c r="E4" s="1"/>
      <c r="F4" s="3"/>
      <c r="G4" s="29"/>
      <c r="H4" s="3"/>
      <c r="I4" s="18"/>
      <c r="J4" s="3"/>
      <c r="K4" s="18"/>
      <c r="L4" s="10"/>
    </row>
    <row r="5" spans="1:14" x14ac:dyDescent="0.35">
      <c r="A5" s="1"/>
      <c r="B5" s="1"/>
      <c r="C5" s="1"/>
      <c r="D5" s="1" t="s">
        <v>2</v>
      </c>
      <c r="E5" s="1"/>
      <c r="F5" s="3"/>
      <c r="G5" s="29"/>
      <c r="H5" s="3"/>
      <c r="I5" s="18"/>
      <c r="J5" s="3"/>
      <c r="K5" s="18"/>
      <c r="L5" s="10"/>
    </row>
    <row r="6" spans="1:14" x14ac:dyDescent="0.35">
      <c r="A6" s="1"/>
      <c r="B6" s="1"/>
      <c r="C6" s="1"/>
      <c r="D6" s="1"/>
      <c r="E6" s="25" t="s">
        <v>14</v>
      </c>
      <c r="F6" s="22">
        <v>923408.84</v>
      </c>
      <c r="G6" s="29"/>
      <c r="H6" s="3">
        <v>0</v>
      </c>
      <c r="I6" s="18"/>
      <c r="J6" s="3">
        <f t="shared" ref="J6:J15" si="0">ROUND((F6-H6),5)</f>
        <v>923408.84</v>
      </c>
      <c r="K6" s="18"/>
      <c r="L6" s="10">
        <f t="shared" ref="L6:L15" si="1">ROUND(IF(F6=0, IF(H6=0, 0, SIGN(-H6)), IF(H6=0, SIGN(F6), (F6-H6)/ABS(H6))),5)</f>
        <v>1</v>
      </c>
    </row>
    <row r="7" spans="1:14" x14ac:dyDescent="0.35">
      <c r="A7" s="1"/>
      <c r="B7" s="1"/>
      <c r="C7" s="1"/>
      <c r="D7" s="1"/>
      <c r="E7" s="1" t="s">
        <v>16</v>
      </c>
      <c r="F7" s="23">
        <v>466741.26</v>
      </c>
      <c r="G7" s="29"/>
      <c r="H7" s="3">
        <v>1130760.8799999999</v>
      </c>
      <c r="I7" s="18"/>
      <c r="J7" s="3">
        <f t="shared" si="0"/>
        <v>-664019.62</v>
      </c>
      <c r="K7" s="18"/>
      <c r="L7" s="10">
        <f t="shared" si="1"/>
        <v>-0.58723000000000003</v>
      </c>
    </row>
    <row r="8" spans="1:14" x14ac:dyDescent="0.35">
      <c r="A8" s="1"/>
      <c r="B8" s="1"/>
      <c r="C8" s="1"/>
      <c r="D8" s="1"/>
      <c r="E8" s="25" t="s">
        <v>17</v>
      </c>
      <c r="F8" s="22">
        <v>33938.74</v>
      </c>
      <c r="G8" s="29"/>
      <c r="H8" s="3">
        <v>0</v>
      </c>
      <c r="I8" s="18"/>
      <c r="J8" s="3">
        <f t="shared" si="0"/>
        <v>33938.74</v>
      </c>
      <c r="K8" s="18"/>
      <c r="L8" s="10">
        <f t="shared" si="1"/>
        <v>1</v>
      </c>
    </row>
    <row r="9" spans="1:14" x14ac:dyDescent="0.35">
      <c r="A9" s="1"/>
      <c r="B9" s="1"/>
      <c r="C9" s="1"/>
      <c r="D9" s="1"/>
      <c r="E9" s="1" t="s">
        <v>18</v>
      </c>
      <c r="F9" s="23">
        <v>14509.49</v>
      </c>
      <c r="G9" s="29"/>
      <c r="H9" s="3">
        <v>39985.800000000003</v>
      </c>
      <c r="I9" s="18"/>
      <c r="J9" s="3">
        <f t="shared" si="0"/>
        <v>-25476.31</v>
      </c>
      <c r="K9" s="18"/>
      <c r="L9" s="10">
        <f t="shared" si="1"/>
        <v>-0.63712999999999997</v>
      </c>
    </row>
    <row r="10" spans="1:14" x14ac:dyDescent="0.35">
      <c r="A10" s="1"/>
      <c r="B10" s="1"/>
      <c r="C10" s="1"/>
      <c r="D10" s="1"/>
      <c r="E10" s="1" t="s">
        <v>21</v>
      </c>
      <c r="F10" s="23">
        <v>12708.63</v>
      </c>
      <c r="G10" s="29"/>
      <c r="H10" s="3">
        <v>463040.23</v>
      </c>
      <c r="I10" s="18"/>
      <c r="J10" s="3">
        <f t="shared" si="0"/>
        <v>-450331.6</v>
      </c>
      <c r="K10" s="18"/>
      <c r="L10" s="10">
        <f t="shared" si="1"/>
        <v>-0.97255000000000003</v>
      </c>
    </row>
    <row r="11" spans="1:14" x14ac:dyDescent="0.35">
      <c r="A11" s="1"/>
      <c r="B11" s="1"/>
      <c r="C11" s="1"/>
      <c r="D11" s="1"/>
      <c r="E11" s="1" t="s">
        <v>20</v>
      </c>
      <c r="F11" s="23">
        <v>2598.88</v>
      </c>
      <c r="G11" s="29"/>
      <c r="H11" s="3">
        <v>10795.68</v>
      </c>
      <c r="I11" s="18"/>
      <c r="J11" s="3">
        <f t="shared" si="0"/>
        <v>-8196.7999999999993</v>
      </c>
      <c r="K11" s="18"/>
      <c r="L11" s="10">
        <f t="shared" si="1"/>
        <v>-0.75927</v>
      </c>
    </row>
    <row r="12" spans="1:14" x14ac:dyDescent="0.35">
      <c r="A12" s="1"/>
      <c r="B12" s="1"/>
      <c r="C12" s="1"/>
      <c r="D12" s="1"/>
      <c r="E12" s="1" t="s">
        <v>22</v>
      </c>
      <c r="F12" s="23">
        <v>1280</v>
      </c>
      <c r="G12" s="29"/>
      <c r="H12" s="3">
        <v>9064.7999999999993</v>
      </c>
      <c r="I12" s="18"/>
      <c r="J12" s="3">
        <f t="shared" si="0"/>
        <v>-7784.8</v>
      </c>
      <c r="K12" s="18"/>
      <c r="L12" s="10">
        <f t="shared" si="1"/>
        <v>-0.85879000000000005</v>
      </c>
    </row>
    <row r="13" spans="1:14" x14ac:dyDescent="0.35">
      <c r="A13" s="1"/>
      <c r="B13" s="1"/>
      <c r="C13" s="1"/>
      <c r="D13" s="1"/>
      <c r="E13" s="1" t="s">
        <v>19</v>
      </c>
      <c r="F13" s="23">
        <v>640</v>
      </c>
      <c r="G13" s="29"/>
      <c r="H13" s="3">
        <v>840.71</v>
      </c>
      <c r="I13" s="18"/>
      <c r="J13" s="3">
        <f t="shared" si="0"/>
        <v>-200.71</v>
      </c>
      <c r="K13" s="18"/>
      <c r="L13" s="10">
        <f t="shared" si="1"/>
        <v>-0.23874000000000001</v>
      </c>
    </row>
    <row r="14" spans="1:14" ht="15" thickBot="1" x14ac:dyDescent="0.4">
      <c r="A14" s="1"/>
      <c r="B14" s="1"/>
      <c r="C14" s="1"/>
      <c r="D14" s="1"/>
      <c r="E14" s="1" t="s">
        <v>36</v>
      </c>
      <c r="F14" s="24">
        <v>0</v>
      </c>
      <c r="G14" s="29"/>
      <c r="H14" s="4">
        <v>520</v>
      </c>
      <c r="I14" s="18"/>
      <c r="J14" s="4">
        <f t="shared" si="0"/>
        <v>-520</v>
      </c>
      <c r="K14" s="18"/>
      <c r="L14" s="11">
        <f t="shared" si="1"/>
        <v>-1</v>
      </c>
    </row>
    <row r="15" spans="1:14" x14ac:dyDescent="0.35">
      <c r="A15" s="1"/>
      <c r="B15" s="1"/>
      <c r="C15" s="1"/>
      <c r="D15" s="1" t="s">
        <v>3</v>
      </c>
      <c r="E15" s="1"/>
      <c r="F15" s="3">
        <f>ROUND(SUM(F5:F6)+SUM(F8:F9)+F7+F10+SUM(F12:F13)+F11+F14,5)</f>
        <v>1455825.84</v>
      </c>
      <c r="G15" s="29"/>
      <c r="H15" s="3">
        <f>ROUND(SUM(H5:H6)+SUM(H8:H9)+H7+H10+SUM(H12:H13)+H11+H14,5)</f>
        <v>1655008.1</v>
      </c>
      <c r="I15" s="18"/>
      <c r="J15" s="3">
        <f t="shared" si="0"/>
        <v>-199182.26</v>
      </c>
      <c r="K15" s="18"/>
      <c r="L15" s="10">
        <f t="shared" si="1"/>
        <v>-0.12035</v>
      </c>
      <c r="M15" s="33" t="s">
        <v>66</v>
      </c>
      <c r="N15" s="35">
        <f>SUM(F6,F8)</f>
        <v>957347.58</v>
      </c>
    </row>
    <row r="16" spans="1:14" x14ac:dyDescent="0.35">
      <c r="A16" s="1"/>
      <c r="B16" s="1"/>
      <c r="C16" s="1"/>
      <c r="D16" s="1" t="s">
        <v>4</v>
      </c>
      <c r="E16" s="1"/>
      <c r="F16" s="3"/>
      <c r="G16" s="29"/>
      <c r="H16" s="3"/>
      <c r="I16" s="18"/>
      <c r="J16" s="3"/>
      <c r="K16" s="18"/>
      <c r="L16" s="10"/>
      <c r="M16" s="34" t="s">
        <v>67</v>
      </c>
      <c r="N16" s="36">
        <f>SUM(F7,F9:F14)</f>
        <v>498478.26</v>
      </c>
    </row>
    <row r="17" spans="1:14" x14ac:dyDescent="0.35">
      <c r="A17" s="1"/>
      <c r="B17" s="1"/>
      <c r="C17" s="1"/>
      <c r="D17" s="1"/>
      <c r="E17" s="25" t="s">
        <v>24</v>
      </c>
      <c r="F17" s="22">
        <v>432412.34</v>
      </c>
      <c r="G17" s="29"/>
      <c r="H17" s="3">
        <v>0</v>
      </c>
      <c r="I17" s="18"/>
      <c r="J17" s="3">
        <f t="shared" ref="J17:J28" si="2">ROUND((F17-H17),5)</f>
        <v>432412.34</v>
      </c>
      <c r="K17" s="18"/>
      <c r="L17" s="10">
        <f t="shared" ref="L17:L28" si="3">ROUND(IF(F17=0, IF(H17=0, 0, SIGN(-H17)), IF(H17=0, SIGN(F17), (F17-H17)/ABS(H17))),5)</f>
        <v>1</v>
      </c>
    </row>
    <row r="18" spans="1:14" x14ac:dyDescent="0.35">
      <c r="A18" s="1"/>
      <c r="B18" s="1"/>
      <c r="C18" s="1"/>
      <c r="D18" s="1"/>
      <c r="E18" s="1" t="s">
        <v>25</v>
      </c>
      <c r="F18" s="23">
        <v>79397.279999999999</v>
      </c>
      <c r="G18" s="29"/>
      <c r="H18" s="3">
        <v>492188.52</v>
      </c>
      <c r="I18" s="18"/>
      <c r="J18" s="3">
        <f t="shared" si="2"/>
        <v>-412791.24</v>
      </c>
      <c r="K18" s="18"/>
      <c r="L18" s="10">
        <f t="shared" si="3"/>
        <v>-0.83869000000000005</v>
      </c>
    </row>
    <row r="19" spans="1:14" x14ac:dyDescent="0.35">
      <c r="A19" s="1"/>
      <c r="B19" s="1"/>
      <c r="C19" s="1"/>
      <c r="D19" s="1"/>
      <c r="E19" s="1" t="s">
        <v>26</v>
      </c>
      <c r="F19" s="23">
        <v>2110.4499999999998</v>
      </c>
      <c r="G19" s="29"/>
      <c r="H19" s="3">
        <v>60776.74</v>
      </c>
      <c r="I19" s="18"/>
      <c r="J19" s="3">
        <f t="shared" si="2"/>
        <v>-58666.29</v>
      </c>
      <c r="K19" s="18"/>
      <c r="L19" s="10">
        <f t="shared" si="3"/>
        <v>-0.96528000000000003</v>
      </c>
    </row>
    <row r="20" spans="1:14" ht="15" thickBot="1" x14ac:dyDescent="0.4">
      <c r="A20" s="1"/>
      <c r="B20" s="1"/>
      <c r="C20" s="1"/>
      <c r="D20" s="1"/>
      <c r="E20" s="1" t="s">
        <v>27</v>
      </c>
      <c r="F20" s="24">
        <v>1171.2</v>
      </c>
      <c r="G20" s="29"/>
      <c r="H20" s="4">
        <v>120.56</v>
      </c>
      <c r="I20" s="18"/>
      <c r="J20" s="4">
        <f t="shared" si="2"/>
        <v>1050.6400000000001</v>
      </c>
      <c r="K20" s="18"/>
      <c r="L20" s="11">
        <f t="shared" si="3"/>
        <v>8.7146600000000003</v>
      </c>
    </row>
    <row r="21" spans="1:14" x14ac:dyDescent="0.35">
      <c r="A21" s="1"/>
      <c r="B21" s="1"/>
      <c r="C21" s="1"/>
      <c r="D21" s="1" t="s">
        <v>5</v>
      </c>
      <c r="E21" s="1"/>
      <c r="F21" s="3">
        <f>ROUND(SUM(F16:F20),5)</f>
        <v>515091.27</v>
      </c>
      <c r="G21" s="29"/>
      <c r="H21" s="3">
        <f>ROUND(SUM(H16:H20),5)</f>
        <v>553085.81999999995</v>
      </c>
      <c r="I21" s="18"/>
      <c r="J21" s="3">
        <f t="shared" si="2"/>
        <v>-37994.550000000003</v>
      </c>
      <c r="K21" s="18"/>
      <c r="L21" s="10">
        <f t="shared" si="3"/>
        <v>-6.8699999999999997E-2</v>
      </c>
      <c r="M21" s="33" t="s">
        <v>68</v>
      </c>
      <c r="N21" s="35">
        <f>SUM(F17)</f>
        <v>432412.34</v>
      </c>
    </row>
    <row r="22" spans="1:14" ht="15" thickBot="1" x14ac:dyDescent="0.4">
      <c r="A22" s="1"/>
      <c r="B22" s="1"/>
      <c r="C22" s="1"/>
      <c r="D22" s="1" t="s">
        <v>28</v>
      </c>
      <c r="E22" s="1"/>
      <c r="F22" s="4">
        <v>1326.25</v>
      </c>
      <c r="G22" s="29"/>
      <c r="H22" s="4">
        <v>0</v>
      </c>
      <c r="I22" s="18"/>
      <c r="J22" s="4">
        <f t="shared" si="2"/>
        <v>1326.25</v>
      </c>
      <c r="K22" s="18"/>
      <c r="L22" s="11">
        <f t="shared" si="3"/>
        <v>1</v>
      </c>
      <c r="M22" s="34" t="s">
        <v>69</v>
      </c>
      <c r="N22" s="36">
        <f>SUM(F18:F20)</f>
        <v>82678.929999999993</v>
      </c>
    </row>
    <row r="23" spans="1:14" x14ac:dyDescent="0.35">
      <c r="A23" s="1"/>
      <c r="B23" s="1"/>
      <c r="C23" s="1" t="s">
        <v>6</v>
      </c>
      <c r="D23" s="1"/>
      <c r="E23" s="1"/>
      <c r="F23" s="3">
        <f>ROUND(F4+F15+SUM(F21:F22),5)</f>
        <v>1972243.36</v>
      </c>
      <c r="G23" s="29"/>
      <c r="H23" s="3">
        <f>ROUND(H4+H15+SUM(H21:H22),5)</f>
        <v>2208093.92</v>
      </c>
      <c r="I23" s="18"/>
      <c r="J23" s="3">
        <f t="shared" si="2"/>
        <v>-235850.56</v>
      </c>
      <c r="K23" s="18"/>
      <c r="L23" s="10">
        <f t="shared" si="3"/>
        <v>-0.10681</v>
      </c>
    </row>
    <row r="24" spans="1:14" x14ac:dyDescent="0.35">
      <c r="A24" s="1"/>
      <c r="B24" s="1"/>
      <c r="C24" s="1" t="s">
        <v>7</v>
      </c>
      <c r="D24" s="1"/>
      <c r="E24" s="1"/>
      <c r="F24" s="3">
        <v>1547.57</v>
      </c>
      <c r="G24" s="29"/>
      <c r="H24" s="3">
        <v>1683.69</v>
      </c>
      <c r="I24" s="18"/>
      <c r="J24" s="3">
        <f t="shared" si="2"/>
        <v>-136.12</v>
      </c>
      <c r="K24" s="18"/>
      <c r="L24" s="10">
        <f t="shared" si="3"/>
        <v>-8.0850000000000005E-2</v>
      </c>
    </row>
    <row r="25" spans="1:14" ht="15" thickBot="1" x14ac:dyDescent="0.4">
      <c r="A25" s="1"/>
      <c r="B25" s="1"/>
      <c r="C25" s="1" t="s">
        <v>29</v>
      </c>
      <c r="D25" s="1"/>
      <c r="E25" s="1"/>
      <c r="F25" s="4">
        <v>-70.900000000000006</v>
      </c>
      <c r="G25" s="29"/>
      <c r="H25" s="4">
        <v>0</v>
      </c>
      <c r="I25" s="18"/>
      <c r="J25" s="4">
        <f t="shared" si="2"/>
        <v>-70.900000000000006</v>
      </c>
      <c r="K25" s="18"/>
      <c r="L25" s="11">
        <f t="shared" si="3"/>
        <v>-1</v>
      </c>
    </row>
    <row r="26" spans="1:14" x14ac:dyDescent="0.35">
      <c r="A26" s="1"/>
      <c r="B26" s="1" t="s">
        <v>8</v>
      </c>
      <c r="C26" s="1"/>
      <c r="D26" s="1"/>
      <c r="E26" s="1"/>
      <c r="F26" s="3">
        <f>ROUND(F3+SUM(F23:F25),5)</f>
        <v>1973720.03</v>
      </c>
      <c r="G26" s="29"/>
      <c r="H26" s="3">
        <f>ROUND(H3+SUM(H23:H25),5)</f>
        <v>2209777.61</v>
      </c>
      <c r="I26" s="18"/>
      <c r="J26" s="3">
        <f t="shared" si="2"/>
        <v>-236057.58</v>
      </c>
      <c r="K26" s="18"/>
      <c r="L26" s="10">
        <f t="shared" si="3"/>
        <v>-0.10682</v>
      </c>
    </row>
    <row r="27" spans="1:14" ht="15" thickBot="1" x14ac:dyDescent="0.4">
      <c r="A27" s="1"/>
      <c r="B27" s="1" t="s">
        <v>30</v>
      </c>
      <c r="C27" s="1"/>
      <c r="D27" s="1"/>
      <c r="E27" s="1"/>
      <c r="F27" s="12">
        <v>0</v>
      </c>
      <c r="G27" s="29"/>
      <c r="H27" s="12">
        <v>0</v>
      </c>
      <c r="I27" s="18"/>
      <c r="J27" s="12">
        <f t="shared" si="2"/>
        <v>0</v>
      </c>
      <c r="K27" s="18"/>
      <c r="L27" s="13">
        <f t="shared" si="3"/>
        <v>0</v>
      </c>
    </row>
    <row r="28" spans="1:14" s="16" customFormat="1" ht="13.5" thickBot="1" x14ac:dyDescent="0.35">
      <c r="A28" s="1" t="s">
        <v>31</v>
      </c>
      <c r="B28" s="1"/>
      <c r="C28" s="1"/>
      <c r="D28" s="1"/>
      <c r="E28" s="1"/>
      <c r="F28" s="14">
        <f>ROUND(F26-F27,5)</f>
        <v>1973720.03</v>
      </c>
      <c r="G28" s="30"/>
      <c r="H28" s="14">
        <f>ROUND(H26-H27,5)</f>
        <v>2209777.61</v>
      </c>
      <c r="I28" s="1"/>
      <c r="J28" s="14">
        <f t="shared" si="2"/>
        <v>-236057.58</v>
      </c>
      <c r="K28" s="1"/>
      <c r="L28" s="15">
        <f t="shared" si="3"/>
        <v>-0.10682</v>
      </c>
    </row>
    <row r="29" spans="1:14" ht="15" thickTop="1" x14ac:dyDescent="0.35"/>
  </sheetData>
  <mergeCells count="1">
    <mergeCell ref="F1:L1"/>
  </mergeCells>
  <pageMargins left="0.7" right="0.7" top="0.75" bottom="0.75" header="0.1" footer="0.3"/>
  <pageSetup orientation="portrait" horizontalDpi="4294967295" verticalDpi="4294967295" r:id="rId1"/>
  <headerFooter>
    <oddHeader>&amp;L&amp;"Arial,Bold"&amp;10 2:11 PM
&amp;"Arial,Bold"&amp;10 06/26/19
&amp;"Arial,Bold"&amp;10 Cash Basis&amp;C&amp;"Arial,Bold"&amp;12 Apple Market Order
&amp;"Arial,Bold"&amp;14 Collections Report</oddHeader>
    <oddFooter>&amp;R&amp;"Arial,Bold"&amp;10 Page &amp;P of &amp;N</oddFooter>
  </headerFooter>
  <drawing r:id="rId2"/>
  <legacyDrawing r:id="rId3"/>
  <controls>
    <mc:AlternateContent xmlns:mc="http://schemas.openxmlformats.org/markup-compatibility/2006">
      <mc:Choice Requires="x14">
        <control shapeId="2457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25400</xdr:rowOff>
              </to>
            </anchor>
          </controlPr>
        </control>
      </mc:Choice>
      <mc:Fallback>
        <control shapeId="24577" r:id="rId4" name="FILTER"/>
      </mc:Fallback>
    </mc:AlternateContent>
    <mc:AlternateContent xmlns:mc="http://schemas.openxmlformats.org/markup-compatibility/2006">
      <mc:Choice Requires="x14">
        <control shapeId="2457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25400</xdr:rowOff>
              </to>
            </anchor>
          </controlPr>
        </control>
      </mc:Choice>
      <mc:Fallback>
        <control shapeId="24578" r:id="rId6" name="HEAD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ACCB2-7F74-46CD-99D5-4E1DE718F3D9}">
  <sheetPr codeName="Sheet4"/>
  <dimension ref="A1:N28"/>
  <sheetViews>
    <sheetView workbookViewId="0">
      <pane xSplit="5" ySplit="2" topLeftCell="F15" activePane="bottomRight" state="frozenSplit"/>
      <selection pane="topRight" activeCell="F1" sqref="F1"/>
      <selection pane="bottomLeft" activeCell="A3" sqref="A3"/>
      <selection pane="bottomRight" activeCell="F1" sqref="F1:L1"/>
    </sheetView>
  </sheetViews>
  <sheetFormatPr defaultRowHeight="14.5" x14ac:dyDescent="0.35"/>
  <cols>
    <col min="1" max="4" width="3" style="7" customWidth="1"/>
    <col min="5" max="5" width="21.26953125" style="7" customWidth="1"/>
    <col min="6" max="6" width="14.453125" style="8" bestFit="1" customWidth="1"/>
    <col min="7" max="7" width="2.26953125" style="8" customWidth="1"/>
    <col min="8" max="8" width="14.453125" style="8" bestFit="1" customWidth="1"/>
    <col min="9" max="9" width="2.26953125" style="8" customWidth="1"/>
    <col min="10" max="10" width="12.26953125" style="8" bestFit="1" customWidth="1"/>
    <col min="11" max="11" width="2.26953125" style="8" customWidth="1"/>
    <col min="12" max="12" width="10" style="8" bestFit="1" customWidth="1"/>
    <col min="13" max="13" width="22.54296875" bestFit="1" customWidth="1"/>
    <col min="14" max="14" width="12.453125" bestFit="1" customWidth="1"/>
  </cols>
  <sheetData>
    <row r="1" spans="1:14" ht="16" thickBot="1" x14ac:dyDescent="0.4">
      <c r="A1" s="1"/>
      <c r="B1" s="1"/>
      <c r="C1" s="1"/>
      <c r="D1" s="1"/>
      <c r="E1" s="1"/>
      <c r="F1" s="52" t="s">
        <v>74</v>
      </c>
      <c r="G1" s="52"/>
      <c r="H1" s="52"/>
      <c r="I1" s="52"/>
      <c r="J1" s="52"/>
      <c r="K1" s="52"/>
      <c r="L1" s="52"/>
    </row>
    <row r="2" spans="1:14" s="6" customFormat="1" ht="15.5" thickTop="1" thickBot="1" x14ac:dyDescent="0.4">
      <c r="A2" s="5"/>
      <c r="B2" s="5"/>
      <c r="C2" s="5"/>
      <c r="D2" s="5"/>
      <c r="E2" s="5"/>
      <c r="F2" s="17" t="s">
        <v>37</v>
      </c>
      <c r="G2" s="28"/>
      <c r="H2" s="17" t="s">
        <v>42</v>
      </c>
      <c r="I2" s="19"/>
      <c r="J2" s="17" t="s">
        <v>11</v>
      </c>
      <c r="K2" s="19"/>
      <c r="L2" s="17" t="s">
        <v>12</v>
      </c>
    </row>
    <row r="3" spans="1:14" ht="15" thickTop="1" x14ac:dyDescent="0.35">
      <c r="A3" s="1"/>
      <c r="B3" s="1" t="s">
        <v>0</v>
      </c>
      <c r="C3" s="1"/>
      <c r="D3" s="1"/>
      <c r="E3" s="1"/>
      <c r="F3" s="3"/>
      <c r="G3" s="29"/>
      <c r="H3" s="3"/>
      <c r="I3" s="18"/>
      <c r="J3" s="3"/>
      <c r="K3" s="18"/>
      <c r="L3" s="10"/>
    </row>
    <row r="4" spans="1:14" x14ac:dyDescent="0.35">
      <c r="A4" s="1"/>
      <c r="B4" s="1"/>
      <c r="C4" s="1" t="s">
        <v>1</v>
      </c>
      <c r="D4" s="1"/>
      <c r="E4" s="1"/>
      <c r="F4" s="3"/>
      <c r="G4" s="29"/>
      <c r="H4" s="3"/>
      <c r="I4" s="18"/>
      <c r="J4" s="3"/>
      <c r="K4" s="18"/>
      <c r="L4" s="10"/>
    </row>
    <row r="5" spans="1:14" x14ac:dyDescent="0.35">
      <c r="A5" s="1"/>
      <c r="B5" s="1"/>
      <c r="C5" s="1"/>
      <c r="D5" s="1" t="s">
        <v>2</v>
      </c>
      <c r="E5" s="1"/>
      <c r="F5" s="3"/>
      <c r="G5" s="29"/>
      <c r="H5" s="3"/>
      <c r="I5" s="18"/>
      <c r="J5" s="3"/>
      <c r="K5" s="18"/>
      <c r="L5" s="10"/>
    </row>
    <row r="6" spans="1:14" x14ac:dyDescent="0.35">
      <c r="A6" s="1"/>
      <c r="B6" s="1"/>
      <c r="C6" s="1"/>
      <c r="D6" s="1"/>
      <c r="E6" s="25" t="s">
        <v>16</v>
      </c>
      <c r="F6" s="22">
        <v>1130760.8799999999</v>
      </c>
      <c r="G6" s="29"/>
      <c r="H6" s="3">
        <v>0</v>
      </c>
      <c r="I6" s="18"/>
      <c r="J6" s="3">
        <f t="shared" ref="J6:J15" si="0">ROUND((F6-H6),5)</f>
        <v>1130760.8799999999</v>
      </c>
      <c r="K6" s="18"/>
      <c r="L6" s="10">
        <f t="shared" ref="L6:L15" si="1">ROUND(IF(F6=0, IF(H6=0, 0, SIGN(-H6)), IF(H6=0, SIGN(F6), (F6-H6)/ABS(H6))),5)</f>
        <v>1</v>
      </c>
    </row>
    <row r="7" spans="1:14" x14ac:dyDescent="0.35">
      <c r="A7" s="1"/>
      <c r="B7" s="1"/>
      <c r="C7" s="1"/>
      <c r="D7" s="1"/>
      <c r="E7" s="1" t="s">
        <v>21</v>
      </c>
      <c r="F7" s="23">
        <v>463040.23</v>
      </c>
      <c r="G7" s="29"/>
      <c r="H7" s="3">
        <v>1061521.44</v>
      </c>
      <c r="I7" s="18"/>
      <c r="J7" s="3">
        <f t="shared" si="0"/>
        <v>-598481.21</v>
      </c>
      <c r="K7" s="18"/>
      <c r="L7" s="10">
        <f t="shared" si="1"/>
        <v>-0.56379999999999997</v>
      </c>
    </row>
    <row r="8" spans="1:14" x14ac:dyDescent="0.35">
      <c r="A8" s="1"/>
      <c r="B8" s="1"/>
      <c r="C8" s="1"/>
      <c r="D8" s="1"/>
      <c r="E8" s="25" t="s">
        <v>18</v>
      </c>
      <c r="F8" s="22">
        <v>39985.800000000003</v>
      </c>
      <c r="G8" s="29"/>
      <c r="H8" s="3">
        <v>0</v>
      </c>
      <c r="I8" s="18"/>
      <c r="J8" s="3">
        <f t="shared" si="0"/>
        <v>39985.800000000003</v>
      </c>
      <c r="K8" s="18"/>
      <c r="L8" s="10">
        <f t="shared" si="1"/>
        <v>1</v>
      </c>
    </row>
    <row r="9" spans="1:14" x14ac:dyDescent="0.35">
      <c r="A9" s="1"/>
      <c r="B9" s="1"/>
      <c r="C9" s="1"/>
      <c r="D9" s="1"/>
      <c r="E9" s="1" t="s">
        <v>20</v>
      </c>
      <c r="F9" s="23">
        <v>10795.68</v>
      </c>
      <c r="G9" s="29"/>
      <c r="H9" s="3">
        <v>465515.96</v>
      </c>
      <c r="I9" s="18"/>
      <c r="J9" s="3">
        <f t="shared" si="0"/>
        <v>-454720.28</v>
      </c>
      <c r="K9" s="18"/>
      <c r="L9" s="10">
        <f t="shared" si="1"/>
        <v>-0.97680999999999996</v>
      </c>
    </row>
    <row r="10" spans="1:14" x14ac:dyDescent="0.35">
      <c r="A10" s="1"/>
      <c r="B10" s="1"/>
      <c r="C10" s="1"/>
      <c r="D10" s="1"/>
      <c r="E10" s="1" t="s">
        <v>22</v>
      </c>
      <c r="F10" s="23">
        <v>9064.7999999999993</v>
      </c>
      <c r="G10" s="29"/>
      <c r="H10" s="3">
        <v>44303.44</v>
      </c>
      <c r="I10" s="18"/>
      <c r="J10" s="3">
        <f t="shared" si="0"/>
        <v>-35238.639999999999</v>
      </c>
      <c r="K10" s="18"/>
      <c r="L10" s="10">
        <f t="shared" si="1"/>
        <v>-0.79539000000000004</v>
      </c>
    </row>
    <row r="11" spans="1:14" x14ac:dyDescent="0.35">
      <c r="A11" s="1"/>
      <c r="B11" s="1"/>
      <c r="C11" s="1"/>
      <c r="D11" s="1"/>
      <c r="E11" s="1" t="s">
        <v>19</v>
      </c>
      <c r="F11" s="23">
        <v>840.71</v>
      </c>
      <c r="G11" s="29"/>
      <c r="H11" s="3">
        <v>10971.25</v>
      </c>
      <c r="I11" s="18"/>
      <c r="J11" s="3">
        <f t="shared" si="0"/>
        <v>-10130.540000000001</v>
      </c>
      <c r="K11" s="18"/>
      <c r="L11" s="10">
        <f t="shared" si="1"/>
        <v>-0.92337000000000002</v>
      </c>
    </row>
    <row r="12" spans="1:14" x14ac:dyDescent="0.35">
      <c r="A12" s="1"/>
      <c r="B12" s="1"/>
      <c r="C12" s="1"/>
      <c r="D12" s="1"/>
      <c r="E12" s="1" t="s">
        <v>36</v>
      </c>
      <c r="F12" s="23">
        <v>520</v>
      </c>
      <c r="G12" s="29"/>
      <c r="H12" s="3">
        <v>54.8</v>
      </c>
      <c r="I12" s="18"/>
      <c r="J12" s="3">
        <f t="shared" si="0"/>
        <v>465.2</v>
      </c>
      <c r="K12" s="18"/>
      <c r="L12" s="10">
        <f t="shared" si="1"/>
        <v>8.4890500000000007</v>
      </c>
    </row>
    <row r="13" spans="1:14" x14ac:dyDescent="0.35">
      <c r="A13" s="1"/>
      <c r="B13" s="1"/>
      <c r="C13" s="1"/>
      <c r="D13" s="1"/>
      <c r="E13" s="1" t="s">
        <v>41</v>
      </c>
      <c r="F13" s="23">
        <v>0</v>
      </c>
      <c r="G13" s="29"/>
      <c r="H13" s="3">
        <v>84.8</v>
      </c>
      <c r="I13" s="18"/>
      <c r="J13" s="3">
        <f t="shared" si="0"/>
        <v>-84.8</v>
      </c>
      <c r="K13" s="18"/>
      <c r="L13" s="10">
        <f t="shared" si="1"/>
        <v>-1</v>
      </c>
    </row>
    <row r="14" spans="1:14" ht="15" thickBot="1" x14ac:dyDescent="0.4">
      <c r="A14" s="1"/>
      <c r="B14" s="1"/>
      <c r="C14" s="1"/>
      <c r="D14" s="1"/>
      <c r="E14" s="1" t="s">
        <v>40</v>
      </c>
      <c r="F14" s="24">
        <v>0</v>
      </c>
      <c r="G14" s="29"/>
      <c r="H14" s="4">
        <v>742.24</v>
      </c>
      <c r="I14" s="18"/>
      <c r="J14" s="4">
        <f t="shared" si="0"/>
        <v>-742.24</v>
      </c>
      <c r="K14" s="18"/>
      <c r="L14" s="11">
        <f t="shared" si="1"/>
        <v>-1</v>
      </c>
    </row>
    <row r="15" spans="1:14" x14ac:dyDescent="0.35">
      <c r="A15" s="1"/>
      <c r="B15" s="1"/>
      <c r="C15" s="1"/>
      <c r="D15" s="1" t="s">
        <v>3</v>
      </c>
      <c r="E15" s="1"/>
      <c r="F15" s="3">
        <f>ROUND(F5+F8+SUM(F6:F7)+SUM(F10:F11)+F9+SUM(F13:F14)+F12,5)</f>
        <v>1655008.1</v>
      </c>
      <c r="G15" s="29"/>
      <c r="H15" s="3">
        <f>ROUND(H5+H8+SUM(H6:H7)+SUM(H10:H11)+H9+SUM(H13:H14)+H12,5)</f>
        <v>1583193.93</v>
      </c>
      <c r="I15" s="18"/>
      <c r="J15" s="3">
        <f t="shared" si="0"/>
        <v>71814.17</v>
      </c>
      <c r="K15" s="18"/>
      <c r="L15" s="10">
        <f t="shared" si="1"/>
        <v>4.5359999999999998E-2</v>
      </c>
      <c r="M15" s="33" t="s">
        <v>66</v>
      </c>
      <c r="N15" s="35">
        <f>SUM(F6,F8)</f>
        <v>1170746.68</v>
      </c>
    </row>
    <row r="16" spans="1:14" x14ac:dyDescent="0.35">
      <c r="A16" s="1"/>
      <c r="B16" s="1"/>
      <c r="C16" s="1"/>
      <c r="D16" s="1" t="s">
        <v>4</v>
      </c>
      <c r="E16" s="1"/>
      <c r="F16" s="3"/>
      <c r="G16" s="29"/>
      <c r="H16" s="3"/>
      <c r="I16" s="18"/>
      <c r="J16" s="3"/>
      <c r="K16" s="18"/>
      <c r="L16" s="10"/>
      <c r="M16" s="34" t="s">
        <v>67</v>
      </c>
      <c r="N16" s="36">
        <f>SUM(F7,F9:F14)</f>
        <v>484261.42</v>
      </c>
    </row>
    <row r="17" spans="1:14" x14ac:dyDescent="0.35">
      <c r="A17" s="1"/>
      <c r="B17" s="1"/>
      <c r="C17" s="1"/>
      <c r="D17" s="1"/>
      <c r="E17" s="25" t="s">
        <v>25</v>
      </c>
      <c r="F17" s="22">
        <v>492188.52</v>
      </c>
      <c r="G17" s="29"/>
      <c r="H17" s="3">
        <v>0</v>
      </c>
      <c r="I17" s="18"/>
      <c r="J17" s="3">
        <f t="shared" ref="J17:J27" si="2">ROUND((F17-H17),5)</f>
        <v>492188.52</v>
      </c>
      <c r="K17" s="18"/>
      <c r="L17" s="10">
        <f t="shared" ref="L17:L27" si="3">ROUND(IF(F17=0, IF(H17=0, 0, SIGN(-H17)), IF(H17=0, SIGN(F17), (F17-H17)/ABS(H17))),5)</f>
        <v>1</v>
      </c>
    </row>
    <row r="18" spans="1:14" x14ac:dyDescent="0.35">
      <c r="A18" s="1"/>
      <c r="B18" s="1"/>
      <c r="C18" s="1"/>
      <c r="D18" s="1"/>
      <c r="E18" s="1" t="s">
        <v>26</v>
      </c>
      <c r="F18" s="23">
        <v>60776.74</v>
      </c>
      <c r="G18" s="29"/>
      <c r="H18" s="3">
        <v>444408.97</v>
      </c>
      <c r="I18" s="18"/>
      <c r="J18" s="3">
        <f t="shared" si="2"/>
        <v>-383632.23</v>
      </c>
      <c r="K18" s="18"/>
      <c r="L18" s="10">
        <f t="shared" si="3"/>
        <v>-0.86324000000000001</v>
      </c>
    </row>
    <row r="19" spans="1:14" x14ac:dyDescent="0.35">
      <c r="A19" s="1"/>
      <c r="B19" s="1"/>
      <c r="C19" s="1"/>
      <c r="D19" s="1"/>
      <c r="E19" s="1" t="s">
        <v>27</v>
      </c>
      <c r="F19" s="23">
        <v>120.56</v>
      </c>
      <c r="G19" s="29"/>
      <c r="H19" s="3">
        <v>70333.03</v>
      </c>
      <c r="I19" s="18"/>
      <c r="J19" s="3">
        <f t="shared" si="2"/>
        <v>-70212.47</v>
      </c>
      <c r="K19" s="18"/>
      <c r="L19" s="10">
        <f t="shared" si="3"/>
        <v>-0.99829000000000001</v>
      </c>
    </row>
    <row r="20" spans="1:14" x14ac:dyDescent="0.35">
      <c r="A20" s="1"/>
      <c r="B20" s="1"/>
      <c r="C20" s="1"/>
      <c r="D20" s="1"/>
      <c r="E20" s="1" t="s">
        <v>39</v>
      </c>
      <c r="F20" s="23">
        <v>0</v>
      </c>
      <c r="G20" s="29"/>
      <c r="H20" s="3">
        <v>193.77</v>
      </c>
      <c r="I20" s="18"/>
      <c r="J20" s="3">
        <f t="shared" si="2"/>
        <v>-193.77</v>
      </c>
      <c r="K20" s="18"/>
      <c r="L20" s="10">
        <f t="shared" si="3"/>
        <v>-1</v>
      </c>
    </row>
    <row r="21" spans="1:14" ht="15" thickBot="1" x14ac:dyDescent="0.4">
      <c r="A21" s="1"/>
      <c r="B21" s="1"/>
      <c r="C21" s="1"/>
      <c r="D21" s="1"/>
      <c r="E21" s="1" t="s">
        <v>38</v>
      </c>
      <c r="F21" s="26">
        <v>0</v>
      </c>
      <c r="G21" s="29"/>
      <c r="H21" s="12">
        <v>61.92</v>
      </c>
      <c r="I21" s="18"/>
      <c r="J21" s="12">
        <f t="shared" si="2"/>
        <v>-61.92</v>
      </c>
      <c r="K21" s="18"/>
      <c r="L21" s="13">
        <f t="shared" si="3"/>
        <v>-1</v>
      </c>
    </row>
    <row r="22" spans="1:14" ht="15" thickBot="1" x14ac:dyDescent="0.4">
      <c r="A22" s="1"/>
      <c r="B22" s="1"/>
      <c r="C22" s="1"/>
      <c r="D22" s="1" t="s">
        <v>5</v>
      </c>
      <c r="E22" s="1"/>
      <c r="F22" s="21">
        <f>ROUND(SUM(F16:F21),5)</f>
        <v>553085.81999999995</v>
      </c>
      <c r="G22" s="29"/>
      <c r="H22" s="21">
        <f>ROUND(SUM(H16:H21),5)</f>
        <v>514997.69</v>
      </c>
      <c r="I22" s="18"/>
      <c r="J22" s="21">
        <f t="shared" si="2"/>
        <v>38088.129999999997</v>
      </c>
      <c r="K22" s="18"/>
      <c r="L22" s="20">
        <f t="shared" si="3"/>
        <v>7.3959999999999998E-2</v>
      </c>
      <c r="M22" s="33" t="s">
        <v>68</v>
      </c>
      <c r="N22" s="35">
        <f>SUM(F17)</f>
        <v>492188.52</v>
      </c>
    </row>
    <row r="23" spans="1:14" x14ac:dyDescent="0.35">
      <c r="A23" s="1"/>
      <c r="B23" s="1"/>
      <c r="C23" s="1" t="s">
        <v>6</v>
      </c>
      <c r="D23" s="1"/>
      <c r="E23" s="1"/>
      <c r="F23" s="3">
        <f>ROUND(F4+F15+F22,5)</f>
        <v>2208093.92</v>
      </c>
      <c r="G23" s="29"/>
      <c r="H23" s="3">
        <f>ROUND(H4+H15+H22,5)</f>
        <v>2098191.62</v>
      </c>
      <c r="I23" s="18"/>
      <c r="J23" s="3">
        <f t="shared" si="2"/>
        <v>109902.3</v>
      </c>
      <c r="K23" s="18"/>
      <c r="L23" s="10">
        <f t="shared" si="3"/>
        <v>5.2380000000000003E-2</v>
      </c>
      <c r="M23" s="34" t="s">
        <v>69</v>
      </c>
      <c r="N23" s="36">
        <f>SUM(F18:F21)</f>
        <v>60897.299999999996</v>
      </c>
    </row>
    <row r="24" spans="1:14" ht="15" thickBot="1" x14ac:dyDescent="0.4">
      <c r="A24" s="1"/>
      <c r="B24" s="1"/>
      <c r="C24" s="1" t="s">
        <v>7</v>
      </c>
      <c r="D24" s="1"/>
      <c r="E24" s="1"/>
      <c r="F24" s="4">
        <v>1683.69</v>
      </c>
      <c r="G24" s="29"/>
      <c r="H24" s="4">
        <v>782</v>
      </c>
      <c r="I24" s="18"/>
      <c r="J24" s="4">
        <f t="shared" si="2"/>
        <v>901.69</v>
      </c>
      <c r="K24" s="18"/>
      <c r="L24" s="11">
        <f t="shared" si="3"/>
        <v>1.15306</v>
      </c>
    </row>
    <row r="25" spans="1:14" x14ac:dyDescent="0.35">
      <c r="A25" s="1"/>
      <c r="B25" s="1" t="s">
        <v>8</v>
      </c>
      <c r="C25" s="1"/>
      <c r="D25" s="1"/>
      <c r="E25" s="1"/>
      <c r="F25" s="3">
        <f>ROUND(F3+SUM(F23:F24),5)</f>
        <v>2209777.61</v>
      </c>
      <c r="G25" s="29"/>
      <c r="H25" s="3">
        <f>ROUND(H3+SUM(H23:H24),5)</f>
        <v>2098973.62</v>
      </c>
      <c r="I25" s="18"/>
      <c r="J25" s="3">
        <f t="shared" si="2"/>
        <v>110803.99</v>
      </c>
      <c r="K25" s="18"/>
      <c r="L25" s="10">
        <f t="shared" si="3"/>
        <v>5.2789999999999997E-2</v>
      </c>
    </row>
    <row r="26" spans="1:14" ht="15" thickBot="1" x14ac:dyDescent="0.4">
      <c r="A26" s="1"/>
      <c r="B26" s="1" t="s">
        <v>30</v>
      </c>
      <c r="C26" s="1"/>
      <c r="D26" s="1"/>
      <c r="E26" s="1"/>
      <c r="F26" s="12">
        <v>0</v>
      </c>
      <c r="G26" s="29"/>
      <c r="H26" s="12">
        <v>0</v>
      </c>
      <c r="I26" s="18"/>
      <c r="J26" s="12">
        <f t="shared" si="2"/>
        <v>0</v>
      </c>
      <c r="K26" s="18"/>
      <c r="L26" s="13">
        <f t="shared" si="3"/>
        <v>0</v>
      </c>
    </row>
    <row r="27" spans="1:14" s="16" customFormat="1" ht="13.5" thickBot="1" x14ac:dyDescent="0.35">
      <c r="A27" s="1" t="s">
        <v>31</v>
      </c>
      <c r="B27" s="1"/>
      <c r="C27" s="1"/>
      <c r="D27" s="1"/>
      <c r="E27" s="1"/>
      <c r="F27" s="14">
        <f>ROUND(F25-F26,5)</f>
        <v>2209777.61</v>
      </c>
      <c r="G27" s="30"/>
      <c r="H27" s="14">
        <f>ROUND(H25-H26,5)</f>
        <v>2098973.62</v>
      </c>
      <c r="I27" s="1"/>
      <c r="J27" s="14">
        <f t="shared" si="2"/>
        <v>110803.99</v>
      </c>
      <c r="K27" s="1"/>
      <c r="L27" s="15">
        <f t="shared" si="3"/>
        <v>5.2789999999999997E-2</v>
      </c>
    </row>
    <row r="28" spans="1:14" ht="15" thickTop="1" x14ac:dyDescent="0.35"/>
  </sheetData>
  <mergeCells count="1">
    <mergeCell ref="F1:L1"/>
  </mergeCells>
  <pageMargins left="0.7" right="0.7" top="0.75" bottom="0.75" header="0.1" footer="0.3"/>
  <pageSetup orientation="portrait" horizontalDpi="4294967295" verticalDpi="4294967295" r:id="rId1"/>
  <headerFooter>
    <oddHeader>&amp;L&amp;"Arial,Bold"&amp;10 2:15 PM
&amp;"Arial,Bold"&amp;10 06/26/19
&amp;"Arial,Bold"&amp;10 Cash Basis&amp;C&amp;"Arial,Bold"&amp;12 Apple Market Order
&amp;"Arial,Bold"&amp;14 Collections Report</oddHeader>
    <oddFooter>&amp;R&amp;"Arial,Bold"&amp;10 Page &amp;P of &amp;N</oddFooter>
  </headerFooter>
  <drawing r:id="rId2"/>
  <legacyDrawing r:id="rId3"/>
  <controls>
    <mc:AlternateContent xmlns:mc="http://schemas.openxmlformats.org/markup-compatibility/2006">
      <mc:Choice Requires="x14">
        <control shapeId="25601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25400</xdr:rowOff>
              </to>
            </anchor>
          </controlPr>
        </control>
      </mc:Choice>
      <mc:Fallback>
        <control shapeId="25601" r:id="rId4" name="FILTER"/>
      </mc:Fallback>
    </mc:AlternateContent>
    <mc:AlternateContent xmlns:mc="http://schemas.openxmlformats.org/markup-compatibility/2006">
      <mc:Choice Requires="x14">
        <control shapeId="25602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25400</xdr:rowOff>
              </to>
            </anchor>
          </controlPr>
        </control>
      </mc:Choice>
      <mc:Fallback>
        <control shapeId="25602" r:id="rId6" name="HEADER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A2C4E-DC0E-45D7-9151-E5808496E09D}">
  <sheetPr codeName="Sheet5"/>
  <dimension ref="A1:N33"/>
  <sheetViews>
    <sheetView workbookViewId="0">
      <pane xSplit="5" ySplit="2" topLeftCell="F3" activePane="bottomRight" state="frozenSplit"/>
      <selection pane="topRight" activeCell="F1" sqref="F1"/>
      <selection pane="bottomLeft" activeCell="A3" sqref="A3"/>
      <selection pane="bottomRight" activeCell="J27" sqref="J27"/>
    </sheetView>
  </sheetViews>
  <sheetFormatPr defaultRowHeight="14.5" x14ac:dyDescent="0.35"/>
  <cols>
    <col min="1" max="4" width="3" style="7" customWidth="1"/>
    <col min="5" max="5" width="20.54296875" style="7" customWidth="1"/>
    <col min="6" max="6" width="14.453125" style="8" bestFit="1" customWidth="1"/>
    <col min="7" max="7" width="2.26953125" style="8" customWidth="1"/>
    <col min="8" max="8" width="14.453125" style="8" bestFit="1" customWidth="1"/>
    <col min="9" max="9" width="2.26953125" style="8" customWidth="1"/>
    <col min="10" max="10" width="12.26953125" style="8" bestFit="1" customWidth="1"/>
    <col min="11" max="11" width="2.26953125" style="8" customWidth="1"/>
    <col min="12" max="12" width="10" style="8" bestFit="1" customWidth="1"/>
    <col min="13" max="13" width="22.54296875" bestFit="1" customWidth="1"/>
    <col min="14" max="14" width="16.7265625" customWidth="1"/>
  </cols>
  <sheetData>
    <row r="1" spans="1:12" ht="16" thickBot="1" x14ac:dyDescent="0.4">
      <c r="A1" s="1"/>
      <c r="B1" s="1"/>
      <c r="C1" s="1"/>
      <c r="D1" s="1"/>
      <c r="E1" s="1"/>
      <c r="F1" s="52" t="s">
        <v>75</v>
      </c>
      <c r="G1" s="52"/>
      <c r="H1" s="52"/>
      <c r="I1" s="52"/>
      <c r="J1" s="52"/>
      <c r="K1" s="52"/>
      <c r="L1" s="52"/>
    </row>
    <row r="2" spans="1:12" s="6" customFormat="1" ht="15.5" thickTop="1" thickBot="1" x14ac:dyDescent="0.4">
      <c r="A2" s="5"/>
      <c r="B2" s="5"/>
      <c r="C2" s="5"/>
      <c r="D2" s="5"/>
      <c r="E2" s="5"/>
      <c r="F2" s="17" t="s">
        <v>42</v>
      </c>
      <c r="G2" s="28"/>
      <c r="H2" s="17" t="s">
        <v>51</v>
      </c>
      <c r="I2" s="19"/>
      <c r="J2" s="17" t="s">
        <v>11</v>
      </c>
      <c r="K2" s="19"/>
      <c r="L2" s="17" t="s">
        <v>12</v>
      </c>
    </row>
    <row r="3" spans="1:12" ht="15" thickTop="1" x14ac:dyDescent="0.35">
      <c r="A3" s="1"/>
      <c r="B3" s="1" t="s">
        <v>0</v>
      </c>
      <c r="C3" s="1"/>
      <c r="D3" s="1"/>
      <c r="E3" s="1"/>
      <c r="F3" s="3"/>
      <c r="G3" s="29"/>
      <c r="H3" s="3"/>
      <c r="I3" s="18"/>
      <c r="J3" s="3"/>
      <c r="K3" s="18"/>
      <c r="L3" s="10"/>
    </row>
    <row r="4" spans="1:12" x14ac:dyDescent="0.35">
      <c r="A4" s="1"/>
      <c r="B4" s="1"/>
      <c r="C4" s="1" t="s">
        <v>1</v>
      </c>
      <c r="D4" s="1"/>
      <c r="E4" s="1"/>
      <c r="F4" s="3"/>
      <c r="G4" s="29"/>
      <c r="H4" s="3"/>
      <c r="I4" s="18"/>
      <c r="J4" s="3"/>
      <c r="K4" s="18"/>
      <c r="L4" s="10"/>
    </row>
    <row r="5" spans="1:12" x14ac:dyDescent="0.35">
      <c r="A5" s="1"/>
      <c r="B5" s="1"/>
      <c r="C5" s="1"/>
      <c r="D5" s="1" t="s">
        <v>2</v>
      </c>
      <c r="E5" s="1"/>
      <c r="F5" s="3"/>
      <c r="G5" s="29"/>
      <c r="H5" s="3"/>
      <c r="I5" s="18"/>
      <c r="J5" s="3"/>
      <c r="K5" s="18"/>
      <c r="L5" s="10"/>
    </row>
    <row r="6" spans="1:12" x14ac:dyDescent="0.35">
      <c r="A6" s="1"/>
      <c r="B6" s="1"/>
      <c r="C6" s="1"/>
      <c r="D6" s="1"/>
      <c r="E6" s="25" t="s">
        <v>21</v>
      </c>
      <c r="F6" s="22">
        <v>1061521.44</v>
      </c>
      <c r="G6" s="29"/>
      <c r="H6" s="3">
        <v>0</v>
      </c>
      <c r="I6" s="18"/>
      <c r="J6" s="3">
        <f t="shared" ref="J6:J17" si="0">ROUND((F6-H6),5)</f>
        <v>1061521.44</v>
      </c>
      <c r="K6" s="18"/>
      <c r="L6" s="10">
        <f t="shared" ref="L6:L17" si="1">ROUND(IF(F6=0, IF(H6=0, 0, SIGN(-H6)), IF(H6=0, SIGN(F6), (F6-H6)/ABS(H6))),5)</f>
        <v>1</v>
      </c>
    </row>
    <row r="7" spans="1:12" x14ac:dyDescent="0.35">
      <c r="A7" s="1"/>
      <c r="B7" s="1"/>
      <c r="C7" s="1"/>
      <c r="D7" s="1"/>
      <c r="E7" s="1" t="s">
        <v>20</v>
      </c>
      <c r="F7" s="23">
        <v>465515.96</v>
      </c>
      <c r="G7" s="29"/>
      <c r="H7" s="3">
        <v>1196162.07</v>
      </c>
      <c r="I7" s="18"/>
      <c r="J7" s="3">
        <f t="shared" si="0"/>
        <v>-730646.11</v>
      </c>
      <c r="K7" s="18"/>
      <c r="L7" s="10">
        <f t="shared" si="1"/>
        <v>-0.61082999999999998</v>
      </c>
    </row>
    <row r="8" spans="1:12" x14ac:dyDescent="0.35">
      <c r="A8" s="1"/>
      <c r="B8" s="1"/>
      <c r="C8" s="1"/>
      <c r="D8" s="1"/>
      <c r="E8" s="25" t="s">
        <v>22</v>
      </c>
      <c r="F8" s="22">
        <v>44303.44</v>
      </c>
      <c r="G8" s="29"/>
      <c r="H8" s="3">
        <v>0</v>
      </c>
      <c r="I8" s="18"/>
      <c r="J8" s="3">
        <f t="shared" si="0"/>
        <v>44303.44</v>
      </c>
      <c r="K8" s="18"/>
      <c r="L8" s="10">
        <f t="shared" si="1"/>
        <v>1</v>
      </c>
    </row>
    <row r="9" spans="1:12" x14ac:dyDescent="0.35">
      <c r="A9" s="1"/>
      <c r="B9" s="1"/>
      <c r="C9" s="1"/>
      <c r="D9" s="1"/>
      <c r="E9" s="1" t="s">
        <v>19</v>
      </c>
      <c r="F9" s="23">
        <v>10971.25</v>
      </c>
      <c r="G9" s="29"/>
      <c r="H9" s="3">
        <v>46083.85</v>
      </c>
      <c r="I9" s="18"/>
      <c r="J9" s="3">
        <f t="shared" si="0"/>
        <v>-35112.6</v>
      </c>
      <c r="K9" s="18"/>
      <c r="L9" s="10">
        <f t="shared" si="1"/>
        <v>-0.76193</v>
      </c>
    </row>
    <row r="10" spans="1:12" x14ac:dyDescent="0.35">
      <c r="A10" s="1"/>
      <c r="B10" s="1"/>
      <c r="C10" s="1"/>
      <c r="D10" s="1"/>
      <c r="E10" s="1" t="s">
        <v>40</v>
      </c>
      <c r="F10" s="23">
        <v>742.24</v>
      </c>
      <c r="G10" s="29"/>
      <c r="H10" s="3">
        <v>1480.32</v>
      </c>
      <c r="I10" s="18"/>
      <c r="J10" s="3">
        <f t="shared" si="0"/>
        <v>-738.08</v>
      </c>
      <c r="K10" s="18"/>
      <c r="L10" s="10">
        <f t="shared" si="1"/>
        <v>-0.49858999999999998</v>
      </c>
    </row>
    <row r="11" spans="1:12" x14ac:dyDescent="0.35">
      <c r="A11" s="1"/>
      <c r="B11" s="1"/>
      <c r="C11" s="1"/>
      <c r="D11" s="1"/>
      <c r="E11" s="1" t="s">
        <v>41</v>
      </c>
      <c r="F11" s="23">
        <v>84.8</v>
      </c>
      <c r="G11" s="29"/>
      <c r="H11" s="3">
        <v>6576.88</v>
      </c>
      <c r="I11" s="18"/>
      <c r="J11" s="3">
        <f t="shared" si="0"/>
        <v>-6492.08</v>
      </c>
      <c r="K11" s="18"/>
      <c r="L11" s="10">
        <f t="shared" si="1"/>
        <v>-0.98711000000000004</v>
      </c>
    </row>
    <row r="12" spans="1:12" x14ac:dyDescent="0.35">
      <c r="A12" s="1"/>
      <c r="B12" s="1"/>
      <c r="C12" s="1"/>
      <c r="D12" s="1"/>
      <c r="E12" s="1" t="s">
        <v>36</v>
      </c>
      <c r="F12" s="23">
        <v>54.8</v>
      </c>
      <c r="G12" s="29"/>
      <c r="H12" s="3">
        <v>676.4</v>
      </c>
      <c r="I12" s="18"/>
      <c r="J12" s="3">
        <f t="shared" si="0"/>
        <v>-621.6</v>
      </c>
      <c r="K12" s="18"/>
      <c r="L12" s="10">
        <f t="shared" si="1"/>
        <v>-0.91898000000000002</v>
      </c>
    </row>
    <row r="13" spans="1:12" x14ac:dyDescent="0.35">
      <c r="A13" s="1"/>
      <c r="B13" s="1"/>
      <c r="C13" s="1"/>
      <c r="D13" s="1"/>
      <c r="E13" s="1" t="s">
        <v>50</v>
      </c>
      <c r="F13" s="23">
        <v>0</v>
      </c>
      <c r="G13" s="29"/>
      <c r="H13" s="3">
        <v>3622.08</v>
      </c>
      <c r="I13" s="18"/>
      <c r="J13" s="3">
        <f t="shared" si="0"/>
        <v>-3622.08</v>
      </c>
      <c r="K13" s="18"/>
      <c r="L13" s="10">
        <f t="shared" si="1"/>
        <v>-1</v>
      </c>
    </row>
    <row r="14" spans="1:12" x14ac:dyDescent="0.35">
      <c r="A14" s="1"/>
      <c r="B14" s="1"/>
      <c r="C14" s="1"/>
      <c r="D14" s="1"/>
      <c r="E14" s="1" t="s">
        <v>49</v>
      </c>
      <c r="F14" s="23">
        <v>0</v>
      </c>
      <c r="G14" s="29"/>
      <c r="H14" s="3">
        <v>1768</v>
      </c>
      <c r="I14" s="18"/>
      <c r="J14" s="3">
        <f t="shared" si="0"/>
        <v>-1768</v>
      </c>
      <c r="K14" s="18"/>
      <c r="L14" s="10">
        <f t="shared" si="1"/>
        <v>-1</v>
      </c>
    </row>
    <row r="15" spans="1:12" x14ac:dyDescent="0.35">
      <c r="A15" s="1"/>
      <c r="B15" s="1"/>
      <c r="C15" s="1"/>
      <c r="D15" s="1"/>
      <c r="E15" s="1" t="s">
        <v>48</v>
      </c>
      <c r="F15" s="23">
        <v>0</v>
      </c>
      <c r="G15" s="29"/>
      <c r="H15" s="3">
        <v>120</v>
      </c>
      <c r="I15" s="18"/>
      <c r="J15" s="3">
        <f t="shared" si="0"/>
        <v>-120</v>
      </c>
      <c r="K15" s="18"/>
      <c r="L15" s="10">
        <f t="shared" si="1"/>
        <v>-1</v>
      </c>
    </row>
    <row r="16" spans="1:12" ht="15" thickBot="1" x14ac:dyDescent="0.4">
      <c r="A16" s="1"/>
      <c r="B16" s="1"/>
      <c r="C16" s="1"/>
      <c r="D16" s="1"/>
      <c r="E16" s="1" t="s">
        <v>47</v>
      </c>
      <c r="F16" s="24">
        <v>0</v>
      </c>
      <c r="G16" s="29"/>
      <c r="H16" s="4">
        <v>106153.99</v>
      </c>
      <c r="I16" s="18"/>
      <c r="J16" s="4">
        <f t="shared" si="0"/>
        <v>-106153.99</v>
      </c>
      <c r="K16" s="18"/>
      <c r="L16" s="11">
        <f t="shared" si="1"/>
        <v>-1</v>
      </c>
    </row>
    <row r="17" spans="1:14" x14ac:dyDescent="0.35">
      <c r="A17" s="1"/>
      <c r="B17" s="1"/>
      <c r="C17" s="1"/>
      <c r="D17" s="1" t="s">
        <v>3</v>
      </c>
      <c r="E17" s="1"/>
      <c r="F17" s="3">
        <f>ROUND(SUM(F5:F6)+SUM(F8:F9)+F7+F11+F16+F10+F12+F15+F14+F13,5)</f>
        <v>1583193.93</v>
      </c>
      <c r="G17" s="29"/>
      <c r="H17" s="3">
        <f>ROUND(SUM(H5:H6)+SUM(H8:H9)+H7+H11+H16+H10+H12+H15+H14+H13,5)</f>
        <v>1362643.59</v>
      </c>
      <c r="I17" s="18"/>
      <c r="J17" s="3">
        <f t="shared" si="0"/>
        <v>220550.34</v>
      </c>
      <c r="K17" s="18"/>
      <c r="L17" s="10">
        <f t="shared" si="1"/>
        <v>0.16184999999999999</v>
      </c>
      <c r="M17" s="33" t="s">
        <v>66</v>
      </c>
      <c r="N17" s="35">
        <f>SUM(F6,F8)</f>
        <v>1105824.8799999999</v>
      </c>
    </row>
    <row r="18" spans="1:14" x14ac:dyDescent="0.35">
      <c r="A18" s="1"/>
      <c r="B18" s="1"/>
      <c r="C18" s="1"/>
      <c r="D18" s="1" t="s">
        <v>4</v>
      </c>
      <c r="E18" s="1"/>
      <c r="F18" s="3"/>
      <c r="G18" s="29"/>
      <c r="H18" s="3"/>
      <c r="I18" s="18"/>
      <c r="J18" s="3"/>
      <c r="K18" s="18"/>
      <c r="L18" s="10"/>
      <c r="M18" s="34" t="s">
        <v>67</v>
      </c>
      <c r="N18" s="36">
        <f>SUM(F7,F9:F16)</f>
        <v>477369.05</v>
      </c>
    </row>
    <row r="19" spans="1:14" x14ac:dyDescent="0.35">
      <c r="A19" s="1"/>
      <c r="B19" s="1"/>
      <c r="C19" s="1"/>
      <c r="D19" s="1"/>
      <c r="E19" s="25" t="s">
        <v>26</v>
      </c>
      <c r="F19" s="22">
        <v>444408.97</v>
      </c>
      <c r="G19" s="29"/>
      <c r="H19" s="3">
        <v>0</v>
      </c>
      <c r="I19" s="18"/>
      <c r="J19" s="3">
        <f t="shared" ref="J19:J32" si="2">ROUND((F19-H19),5)</f>
        <v>444408.97</v>
      </c>
      <c r="K19" s="18"/>
      <c r="L19" s="10">
        <f t="shared" ref="L19:L32" si="3">ROUND(IF(F19=0, IF(H19=0, 0, SIGN(-H19)), IF(H19=0, SIGN(F19), (F19-H19)/ABS(H19))),5)</f>
        <v>1</v>
      </c>
    </row>
    <row r="20" spans="1:14" x14ac:dyDescent="0.35">
      <c r="A20" s="1"/>
      <c r="B20" s="1"/>
      <c r="C20" s="1"/>
      <c r="D20" s="1"/>
      <c r="E20" s="1" t="s">
        <v>27</v>
      </c>
      <c r="F20" s="23">
        <v>70333.03</v>
      </c>
      <c r="G20" s="29"/>
      <c r="H20" s="3">
        <v>549126.01</v>
      </c>
      <c r="I20" s="18"/>
      <c r="J20" s="3">
        <f t="shared" si="2"/>
        <v>-478792.98</v>
      </c>
      <c r="K20" s="18"/>
      <c r="L20" s="10">
        <f t="shared" si="3"/>
        <v>-0.87192000000000003</v>
      </c>
    </row>
    <row r="21" spans="1:14" x14ac:dyDescent="0.35">
      <c r="A21" s="1"/>
      <c r="B21" s="1"/>
      <c r="C21" s="1"/>
      <c r="D21" s="1"/>
      <c r="E21" s="1" t="s">
        <v>39</v>
      </c>
      <c r="F21" s="23">
        <v>193.77</v>
      </c>
      <c r="G21" s="29"/>
      <c r="H21" s="3">
        <v>37645.230000000003</v>
      </c>
      <c r="I21" s="18"/>
      <c r="J21" s="3">
        <f t="shared" si="2"/>
        <v>-37451.46</v>
      </c>
      <c r="K21" s="18"/>
      <c r="L21" s="10">
        <f t="shared" si="3"/>
        <v>-0.99485000000000001</v>
      </c>
    </row>
    <row r="22" spans="1:14" x14ac:dyDescent="0.35">
      <c r="A22" s="1"/>
      <c r="B22" s="1"/>
      <c r="C22" s="1"/>
      <c r="D22" s="1"/>
      <c r="E22" s="1" t="s">
        <v>38</v>
      </c>
      <c r="F22" s="23">
        <v>61.92</v>
      </c>
      <c r="G22" s="29"/>
      <c r="H22" s="3">
        <v>29058.38</v>
      </c>
      <c r="I22" s="18"/>
      <c r="J22" s="3">
        <f t="shared" si="2"/>
        <v>-28996.46</v>
      </c>
      <c r="K22" s="18"/>
      <c r="L22" s="10">
        <f t="shared" si="3"/>
        <v>-0.99787000000000003</v>
      </c>
    </row>
    <row r="23" spans="1:14" x14ac:dyDescent="0.35">
      <c r="A23" s="1"/>
      <c r="B23" s="1"/>
      <c r="C23" s="1"/>
      <c r="D23" s="1"/>
      <c r="E23" s="1" t="s">
        <v>46</v>
      </c>
      <c r="F23" s="23">
        <v>0</v>
      </c>
      <c r="G23" s="29"/>
      <c r="H23" s="3">
        <v>546.49</v>
      </c>
      <c r="I23" s="18"/>
      <c r="J23" s="3">
        <f t="shared" si="2"/>
        <v>-546.49</v>
      </c>
      <c r="K23" s="18"/>
      <c r="L23" s="10">
        <f t="shared" si="3"/>
        <v>-1</v>
      </c>
    </row>
    <row r="24" spans="1:14" ht="15" thickBot="1" x14ac:dyDescent="0.4">
      <c r="A24" s="1"/>
      <c r="B24" s="1"/>
      <c r="C24" s="1"/>
      <c r="D24" s="1"/>
      <c r="E24" s="1" t="s">
        <v>45</v>
      </c>
      <c r="F24" s="26">
        <v>0</v>
      </c>
      <c r="G24" s="29"/>
      <c r="H24" s="12">
        <v>3126.52</v>
      </c>
      <c r="I24" s="18"/>
      <c r="J24" s="12">
        <f t="shared" si="2"/>
        <v>-3126.52</v>
      </c>
      <c r="K24" s="18"/>
      <c r="L24" s="13">
        <f t="shared" si="3"/>
        <v>-1</v>
      </c>
    </row>
    <row r="25" spans="1:14" ht="15" thickBot="1" x14ac:dyDescent="0.4">
      <c r="A25" s="1"/>
      <c r="B25" s="1"/>
      <c r="C25" s="1"/>
      <c r="D25" s="1" t="s">
        <v>5</v>
      </c>
      <c r="E25" s="1"/>
      <c r="F25" s="21">
        <f>ROUND(SUM(F18:F24),5)</f>
        <v>514997.69</v>
      </c>
      <c r="G25" s="29"/>
      <c r="H25" s="21">
        <f>ROUND(SUM(H18:H24),5)</f>
        <v>619502.63</v>
      </c>
      <c r="I25" s="18"/>
      <c r="J25" s="21">
        <f t="shared" si="2"/>
        <v>-104504.94</v>
      </c>
      <c r="K25" s="18"/>
      <c r="L25" s="20">
        <f t="shared" si="3"/>
        <v>-0.16869000000000001</v>
      </c>
      <c r="M25" s="33" t="s">
        <v>68</v>
      </c>
      <c r="N25" s="35">
        <f>SUM(F19)</f>
        <v>444408.97</v>
      </c>
    </row>
    <row r="26" spans="1:14" x14ac:dyDescent="0.35">
      <c r="A26" s="1"/>
      <c r="B26" s="1"/>
      <c r="C26" s="1" t="s">
        <v>6</v>
      </c>
      <c r="D26" s="1"/>
      <c r="E26" s="1"/>
      <c r="F26" s="3">
        <f>ROUND(F4+F17+F25,5)</f>
        <v>2098191.62</v>
      </c>
      <c r="G26" s="29"/>
      <c r="H26" s="3">
        <f>ROUND(H4+H17+H25,5)</f>
        <v>1982146.22</v>
      </c>
      <c r="I26" s="18"/>
      <c r="J26" s="3">
        <f t="shared" si="2"/>
        <v>116045.4</v>
      </c>
      <c r="K26" s="18"/>
      <c r="L26" s="10">
        <f t="shared" si="3"/>
        <v>5.8549999999999998E-2</v>
      </c>
      <c r="M26" s="34" t="s">
        <v>69</v>
      </c>
      <c r="N26" s="36">
        <f>SUM(F20:F24)</f>
        <v>70588.72</v>
      </c>
    </row>
    <row r="27" spans="1:14" x14ac:dyDescent="0.35">
      <c r="A27" s="1"/>
      <c r="B27" s="1"/>
      <c r="C27" s="1" t="s">
        <v>7</v>
      </c>
      <c r="D27" s="1"/>
      <c r="E27" s="1"/>
      <c r="F27" s="3">
        <v>782</v>
      </c>
      <c r="G27" s="29"/>
      <c r="H27" s="3">
        <v>1049.3599999999999</v>
      </c>
      <c r="I27" s="18"/>
      <c r="J27" s="3">
        <f t="shared" si="2"/>
        <v>-267.36</v>
      </c>
      <c r="K27" s="18"/>
      <c r="L27" s="10">
        <f t="shared" si="3"/>
        <v>-0.25478000000000001</v>
      </c>
    </row>
    <row r="28" spans="1:14" x14ac:dyDescent="0.35">
      <c r="A28" s="1"/>
      <c r="B28" s="1"/>
      <c r="C28" s="1" t="s">
        <v>44</v>
      </c>
      <c r="D28" s="1"/>
      <c r="E28" s="1"/>
      <c r="F28" s="3">
        <v>0</v>
      </c>
      <c r="G28" s="29"/>
      <c r="H28" s="3">
        <v>10</v>
      </c>
      <c r="I28" s="18"/>
      <c r="J28" s="3">
        <f t="shared" si="2"/>
        <v>-10</v>
      </c>
      <c r="K28" s="18"/>
      <c r="L28" s="10">
        <f t="shared" si="3"/>
        <v>-1</v>
      </c>
    </row>
    <row r="29" spans="1:14" ht="15" thickBot="1" x14ac:dyDescent="0.4">
      <c r="A29" s="1"/>
      <c r="B29" s="1"/>
      <c r="C29" s="1" t="s">
        <v>43</v>
      </c>
      <c r="D29" s="1"/>
      <c r="E29" s="1"/>
      <c r="F29" s="4">
        <v>0</v>
      </c>
      <c r="G29" s="29"/>
      <c r="H29" s="4">
        <v>514.29999999999995</v>
      </c>
      <c r="I29" s="18"/>
      <c r="J29" s="4">
        <f t="shared" si="2"/>
        <v>-514.29999999999995</v>
      </c>
      <c r="K29" s="18"/>
      <c r="L29" s="11">
        <f t="shared" si="3"/>
        <v>-1</v>
      </c>
    </row>
    <row r="30" spans="1:14" x14ac:dyDescent="0.35">
      <c r="A30" s="1"/>
      <c r="B30" s="1" t="s">
        <v>8</v>
      </c>
      <c r="C30" s="1"/>
      <c r="D30" s="1"/>
      <c r="E30" s="1"/>
      <c r="F30" s="3">
        <f>ROUND(F3+SUM(F26:F27)+F29+F28,5)</f>
        <v>2098973.62</v>
      </c>
      <c r="G30" s="29"/>
      <c r="H30" s="3">
        <f>ROUND(H3+SUM(H26:H27)+H29+H28,5)</f>
        <v>1983719.88</v>
      </c>
      <c r="I30" s="18"/>
      <c r="J30" s="3">
        <f t="shared" si="2"/>
        <v>115253.74</v>
      </c>
      <c r="K30" s="18"/>
      <c r="L30" s="10">
        <f t="shared" si="3"/>
        <v>5.8099999999999999E-2</v>
      </c>
    </row>
    <row r="31" spans="1:14" ht="15" thickBot="1" x14ac:dyDescent="0.4">
      <c r="A31" s="1"/>
      <c r="B31" s="1" t="s">
        <v>30</v>
      </c>
      <c r="C31" s="1"/>
      <c r="D31" s="1"/>
      <c r="E31" s="1"/>
      <c r="F31" s="12">
        <v>0</v>
      </c>
      <c r="G31" s="29"/>
      <c r="H31" s="12">
        <v>0</v>
      </c>
      <c r="I31" s="18"/>
      <c r="J31" s="12">
        <f t="shared" si="2"/>
        <v>0</v>
      </c>
      <c r="K31" s="18"/>
      <c r="L31" s="13">
        <f t="shared" si="3"/>
        <v>0</v>
      </c>
    </row>
    <row r="32" spans="1:14" s="16" customFormat="1" ht="13.5" thickBot="1" x14ac:dyDescent="0.35">
      <c r="A32" s="1" t="s">
        <v>31</v>
      </c>
      <c r="B32" s="1"/>
      <c r="C32" s="1"/>
      <c r="D32" s="1"/>
      <c r="E32" s="1"/>
      <c r="F32" s="14">
        <f>ROUND(F30-F31,5)</f>
        <v>2098973.62</v>
      </c>
      <c r="G32" s="30"/>
      <c r="H32" s="14">
        <f>ROUND(H30-H31,5)</f>
        <v>1983719.88</v>
      </c>
      <c r="I32" s="1"/>
      <c r="J32" s="14">
        <f t="shared" si="2"/>
        <v>115253.74</v>
      </c>
      <c r="K32" s="1"/>
      <c r="L32" s="15">
        <f t="shared" si="3"/>
        <v>5.8099999999999999E-2</v>
      </c>
    </row>
    <row r="33" ht="15" thickTop="1" x14ac:dyDescent="0.35"/>
  </sheetData>
  <mergeCells count="1">
    <mergeCell ref="F1:L1"/>
  </mergeCells>
  <pageMargins left="0.7" right="0.7" top="0.75" bottom="0.75" header="0.1" footer="0.3"/>
  <pageSetup orientation="portrait" horizontalDpi="4294967295" verticalDpi="4294967295" r:id="rId1"/>
  <headerFooter>
    <oddHeader>&amp;L&amp;"Arial,Bold"&amp;10 2:17 PM
&amp;"Arial,Bold"&amp;10 06/26/19
&amp;"Arial,Bold"&amp;10 Cash Basis&amp;C&amp;"Arial,Bold"&amp;12 Apple Market Order
&amp;"Arial,Bold"&amp;14 Collections Report</oddHeader>
    <oddFooter>&amp;R&amp;"Arial,Bold"&amp;10 Page &amp;P of &amp;N</oddFooter>
  </headerFooter>
  <drawing r:id="rId2"/>
  <legacyDrawing r:id="rId3"/>
  <controls>
    <mc:AlternateContent xmlns:mc="http://schemas.openxmlformats.org/markup-compatibility/2006">
      <mc:Choice Requires="x14">
        <control shapeId="266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25400</xdr:rowOff>
              </to>
            </anchor>
          </controlPr>
        </control>
      </mc:Choice>
      <mc:Fallback>
        <control shapeId="26625" r:id="rId4" name="FILTER"/>
      </mc:Fallback>
    </mc:AlternateContent>
    <mc:AlternateContent xmlns:mc="http://schemas.openxmlformats.org/markup-compatibility/2006">
      <mc:Choice Requires="x14">
        <control shapeId="266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25400</xdr:rowOff>
              </to>
            </anchor>
          </controlPr>
        </control>
      </mc:Choice>
      <mc:Fallback>
        <control shapeId="26626" r:id="rId6" name="HEADER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738C9-21F8-4E62-9D8C-0E81D9F672E0}">
  <dimension ref="A1:K46"/>
  <sheetViews>
    <sheetView workbookViewId="0">
      <selection activeCell="E38" sqref="E38"/>
    </sheetView>
  </sheetViews>
  <sheetFormatPr defaultRowHeight="14.5" x14ac:dyDescent="0.35"/>
  <cols>
    <col min="4" max="4" width="19.54296875" customWidth="1"/>
    <col min="5" max="5" width="15.7265625" customWidth="1"/>
    <col min="6" max="6" width="3.81640625" style="43" customWidth="1"/>
    <col min="7" max="7" width="16.453125" customWidth="1"/>
    <col min="9" max="9" width="14" customWidth="1"/>
  </cols>
  <sheetData>
    <row r="1" spans="1:11" ht="15.5" thickTop="1" thickBot="1" x14ac:dyDescent="0.4">
      <c r="A1" s="5"/>
      <c r="B1" s="5"/>
      <c r="C1" s="5"/>
      <c r="D1" s="5"/>
      <c r="E1" s="17" t="s">
        <v>51</v>
      </c>
      <c r="F1" s="28"/>
      <c r="G1" s="17" t="s">
        <v>93</v>
      </c>
      <c r="H1" s="19"/>
      <c r="I1" s="17" t="s">
        <v>11</v>
      </c>
      <c r="J1" s="19"/>
      <c r="K1" s="17" t="s">
        <v>12</v>
      </c>
    </row>
    <row r="2" spans="1:11" ht="15" thickTop="1" x14ac:dyDescent="0.35">
      <c r="A2" s="1" t="s">
        <v>0</v>
      </c>
      <c r="B2" s="1"/>
      <c r="C2" s="1"/>
      <c r="D2" s="1"/>
      <c r="E2" s="3"/>
      <c r="F2" s="29"/>
      <c r="G2" s="3"/>
      <c r="H2" s="18"/>
      <c r="I2" s="3"/>
      <c r="J2" s="18"/>
      <c r="K2" s="10"/>
    </row>
    <row r="3" spans="1:11" x14ac:dyDescent="0.35">
      <c r="A3" s="1"/>
      <c r="B3" s="1" t="s">
        <v>1</v>
      </c>
      <c r="C3" s="1"/>
      <c r="D3" s="1"/>
      <c r="E3" s="3"/>
      <c r="F3" s="29"/>
      <c r="G3" s="3"/>
      <c r="H3" s="18"/>
      <c r="I3" s="3"/>
      <c r="J3" s="18"/>
      <c r="K3" s="10"/>
    </row>
    <row r="4" spans="1:11" x14ac:dyDescent="0.35">
      <c r="A4" s="1"/>
      <c r="B4" s="1"/>
      <c r="C4" s="1" t="s">
        <v>2</v>
      </c>
      <c r="D4" s="1"/>
      <c r="E4" s="3"/>
      <c r="F4" s="29"/>
      <c r="G4" s="3"/>
      <c r="H4" s="18"/>
      <c r="I4" s="3"/>
      <c r="J4" s="18"/>
      <c r="K4" s="10"/>
    </row>
    <row r="5" spans="1:11" x14ac:dyDescent="0.35">
      <c r="A5" s="1"/>
      <c r="B5" s="1"/>
      <c r="C5" s="1"/>
      <c r="D5" s="1" t="s">
        <v>20</v>
      </c>
      <c r="E5" s="3">
        <v>1196162.07</v>
      </c>
      <c r="F5" s="29"/>
      <c r="G5" s="3">
        <v>0</v>
      </c>
      <c r="H5" s="18"/>
      <c r="I5" s="3">
        <f t="shared" ref="I5:I25" si="0">ROUND((E5-G5),5)</f>
        <v>1196162.07</v>
      </c>
      <c r="J5" s="18"/>
      <c r="K5" s="10">
        <f t="shared" ref="K5:K25" si="1">ROUND(IF(E5=0, IF(G5=0, 0, SIGN(-G5)), IF(G5=0, SIGN(E5), (E5-G5)/ABS(G5))),5)</f>
        <v>1</v>
      </c>
    </row>
    <row r="6" spans="1:11" x14ac:dyDescent="0.35">
      <c r="A6" s="1"/>
      <c r="B6" s="1"/>
      <c r="C6" s="1"/>
      <c r="D6" s="1" t="s">
        <v>47</v>
      </c>
      <c r="E6" s="3">
        <v>106153.99</v>
      </c>
      <c r="F6" s="29"/>
      <c r="G6" s="3">
        <v>796789.87</v>
      </c>
      <c r="H6" s="18"/>
      <c r="I6" s="3">
        <f t="shared" si="0"/>
        <v>-690635.88</v>
      </c>
      <c r="J6" s="18"/>
      <c r="K6" s="10">
        <f t="shared" si="1"/>
        <v>-0.86677000000000004</v>
      </c>
    </row>
    <row r="7" spans="1:11" x14ac:dyDescent="0.35">
      <c r="A7" s="1"/>
      <c r="B7" s="1"/>
      <c r="C7" s="1"/>
      <c r="D7" s="1" t="s">
        <v>19</v>
      </c>
      <c r="E7" s="3">
        <v>46083.85</v>
      </c>
      <c r="F7" s="29"/>
      <c r="G7" s="3">
        <v>0</v>
      </c>
      <c r="H7" s="18"/>
      <c r="I7" s="3">
        <f t="shared" si="0"/>
        <v>46083.85</v>
      </c>
      <c r="J7" s="18"/>
      <c r="K7" s="10">
        <f t="shared" si="1"/>
        <v>1</v>
      </c>
    </row>
    <row r="8" spans="1:11" x14ac:dyDescent="0.35">
      <c r="A8" s="1"/>
      <c r="B8" s="1"/>
      <c r="C8" s="1"/>
      <c r="D8" s="1" t="s">
        <v>41</v>
      </c>
      <c r="E8" s="3">
        <v>6576.88</v>
      </c>
      <c r="F8" s="29"/>
      <c r="G8" s="3">
        <v>24595.38</v>
      </c>
      <c r="H8" s="18"/>
      <c r="I8" s="3">
        <f t="shared" si="0"/>
        <v>-18018.5</v>
      </c>
      <c r="J8" s="18"/>
      <c r="K8" s="10">
        <f t="shared" si="1"/>
        <v>-0.73260000000000003</v>
      </c>
    </row>
    <row r="9" spans="1:11" x14ac:dyDescent="0.35">
      <c r="A9" s="1"/>
      <c r="B9" s="1"/>
      <c r="C9" s="1"/>
      <c r="D9" s="1" t="s">
        <v>50</v>
      </c>
      <c r="E9" s="3">
        <v>3622.08</v>
      </c>
      <c r="F9" s="29"/>
      <c r="G9" s="3">
        <v>577.27</v>
      </c>
      <c r="H9" s="18"/>
      <c r="I9" s="3">
        <f t="shared" si="0"/>
        <v>3044.81</v>
      </c>
      <c r="J9" s="18"/>
      <c r="K9" s="10">
        <f t="shared" si="1"/>
        <v>5.2744999999999997</v>
      </c>
    </row>
    <row r="10" spans="1:11" x14ac:dyDescent="0.35">
      <c r="A10" s="1"/>
      <c r="B10" s="1"/>
      <c r="C10" s="1"/>
      <c r="D10" s="1" t="s">
        <v>49</v>
      </c>
      <c r="E10" s="3">
        <v>1768</v>
      </c>
      <c r="F10" s="29"/>
      <c r="G10" s="3">
        <v>871.12</v>
      </c>
      <c r="H10" s="18"/>
      <c r="I10" s="3">
        <f t="shared" si="0"/>
        <v>896.88</v>
      </c>
      <c r="J10" s="18"/>
      <c r="K10" s="10">
        <f t="shared" si="1"/>
        <v>1.0295700000000001</v>
      </c>
    </row>
    <row r="11" spans="1:11" x14ac:dyDescent="0.35">
      <c r="A11" s="1"/>
      <c r="B11" s="1"/>
      <c r="C11" s="1"/>
      <c r="D11" s="1" t="s">
        <v>40</v>
      </c>
      <c r="E11" s="3">
        <v>1480.32</v>
      </c>
      <c r="F11" s="29"/>
      <c r="G11" s="3">
        <v>472303.44</v>
      </c>
      <c r="H11" s="18"/>
      <c r="I11" s="3">
        <f t="shared" si="0"/>
        <v>-470823.12</v>
      </c>
      <c r="J11" s="18"/>
      <c r="K11" s="10">
        <f t="shared" si="1"/>
        <v>-0.99687000000000003</v>
      </c>
    </row>
    <row r="12" spans="1:11" x14ac:dyDescent="0.35">
      <c r="A12" s="1"/>
      <c r="B12" s="1"/>
      <c r="C12" s="1"/>
      <c r="D12" s="1" t="s">
        <v>36</v>
      </c>
      <c r="E12" s="3">
        <v>676.4</v>
      </c>
      <c r="F12" s="29"/>
      <c r="G12" s="3">
        <v>10693.97</v>
      </c>
      <c r="H12" s="18"/>
      <c r="I12" s="3">
        <f t="shared" si="0"/>
        <v>-10017.57</v>
      </c>
      <c r="J12" s="18"/>
      <c r="K12" s="10">
        <f t="shared" si="1"/>
        <v>-0.93674999999999997</v>
      </c>
    </row>
    <row r="13" spans="1:11" x14ac:dyDescent="0.35">
      <c r="A13" s="1"/>
      <c r="B13" s="1"/>
      <c r="C13" s="1"/>
      <c r="D13" s="1" t="s">
        <v>48</v>
      </c>
      <c r="E13" s="3">
        <v>120</v>
      </c>
      <c r="F13" s="29"/>
      <c r="G13" s="3">
        <v>216.76</v>
      </c>
      <c r="H13" s="18"/>
      <c r="I13" s="3">
        <f t="shared" si="0"/>
        <v>-96.76</v>
      </c>
      <c r="J13" s="18"/>
      <c r="K13" s="10">
        <f t="shared" si="1"/>
        <v>-0.44639000000000001</v>
      </c>
    </row>
    <row r="14" spans="1:11" x14ac:dyDescent="0.35">
      <c r="A14" s="1"/>
      <c r="B14" s="1"/>
      <c r="C14" s="1"/>
      <c r="D14" s="1" t="s">
        <v>94</v>
      </c>
      <c r="E14" s="3">
        <v>0</v>
      </c>
      <c r="F14" s="29"/>
      <c r="G14" s="3">
        <v>3253.28</v>
      </c>
      <c r="H14" s="18"/>
      <c r="I14" s="3">
        <f t="shared" si="0"/>
        <v>-3253.28</v>
      </c>
      <c r="J14" s="18"/>
      <c r="K14" s="10">
        <f t="shared" si="1"/>
        <v>-1</v>
      </c>
    </row>
    <row r="15" spans="1:11" x14ac:dyDescent="0.35">
      <c r="A15" s="1"/>
      <c r="B15" s="1"/>
      <c r="C15" s="1"/>
      <c r="D15" s="1" t="s">
        <v>95</v>
      </c>
      <c r="E15" s="3">
        <v>0</v>
      </c>
      <c r="F15" s="29"/>
      <c r="G15" s="3">
        <v>2128</v>
      </c>
      <c r="H15" s="18"/>
      <c r="I15" s="3">
        <f t="shared" si="0"/>
        <v>-2128</v>
      </c>
      <c r="J15" s="18"/>
      <c r="K15" s="10">
        <f t="shared" si="1"/>
        <v>-1</v>
      </c>
    </row>
    <row r="16" spans="1:11" x14ac:dyDescent="0.35">
      <c r="A16" s="1"/>
      <c r="B16" s="1"/>
      <c r="C16" s="1"/>
      <c r="D16" s="1" t="s">
        <v>84</v>
      </c>
      <c r="E16" s="3">
        <v>0</v>
      </c>
      <c r="F16" s="29"/>
      <c r="G16" s="3">
        <v>66.27</v>
      </c>
      <c r="H16" s="18"/>
      <c r="I16" s="3">
        <f t="shared" si="0"/>
        <v>-66.27</v>
      </c>
      <c r="J16" s="18"/>
      <c r="K16" s="10">
        <f t="shared" si="1"/>
        <v>-1</v>
      </c>
    </row>
    <row r="17" spans="1:11" x14ac:dyDescent="0.35">
      <c r="A17" s="1"/>
      <c r="B17" s="1"/>
      <c r="C17" s="1"/>
      <c r="D17" s="1" t="s">
        <v>85</v>
      </c>
      <c r="E17" s="3">
        <v>0</v>
      </c>
      <c r="F17" s="29"/>
      <c r="G17" s="3">
        <v>39.979999999999997</v>
      </c>
      <c r="H17" s="18"/>
      <c r="I17" s="3">
        <f t="shared" si="0"/>
        <v>-39.979999999999997</v>
      </c>
      <c r="J17" s="18"/>
      <c r="K17" s="10">
        <f t="shared" si="1"/>
        <v>-1</v>
      </c>
    </row>
    <row r="18" spans="1:11" x14ac:dyDescent="0.35">
      <c r="A18" s="1"/>
      <c r="B18" s="1"/>
      <c r="C18" s="1"/>
      <c r="D18" s="1" t="s">
        <v>83</v>
      </c>
      <c r="E18" s="3">
        <v>0</v>
      </c>
      <c r="F18" s="29"/>
      <c r="G18" s="3">
        <v>356.33</v>
      </c>
      <c r="H18" s="18"/>
      <c r="I18" s="3">
        <f t="shared" si="0"/>
        <v>-356.33</v>
      </c>
      <c r="J18" s="18"/>
      <c r="K18" s="10">
        <f t="shared" si="1"/>
        <v>-1</v>
      </c>
    </row>
    <row r="19" spans="1:11" x14ac:dyDescent="0.35">
      <c r="A19" s="1"/>
      <c r="B19" s="1"/>
      <c r="C19" s="1"/>
      <c r="D19" s="1" t="s">
        <v>81</v>
      </c>
      <c r="E19" s="3">
        <v>0</v>
      </c>
      <c r="F19" s="29"/>
      <c r="G19" s="3">
        <v>682.32</v>
      </c>
      <c r="H19" s="18"/>
      <c r="I19" s="3">
        <f t="shared" si="0"/>
        <v>-682.32</v>
      </c>
      <c r="J19" s="18"/>
      <c r="K19" s="10">
        <f t="shared" si="1"/>
        <v>-1</v>
      </c>
    </row>
    <row r="20" spans="1:11" x14ac:dyDescent="0.35">
      <c r="A20" s="1"/>
      <c r="B20" s="1"/>
      <c r="C20" s="1"/>
      <c r="D20" s="1" t="s">
        <v>86</v>
      </c>
      <c r="E20" s="3">
        <v>0</v>
      </c>
      <c r="F20" s="29"/>
      <c r="G20" s="3">
        <v>38.340000000000003</v>
      </c>
      <c r="H20" s="18"/>
      <c r="I20" s="3">
        <f t="shared" si="0"/>
        <v>-38.340000000000003</v>
      </c>
      <c r="J20" s="18"/>
      <c r="K20" s="10">
        <f t="shared" si="1"/>
        <v>-1</v>
      </c>
    </row>
    <row r="21" spans="1:11" x14ac:dyDescent="0.35">
      <c r="A21" s="1"/>
      <c r="B21" s="1"/>
      <c r="C21" s="1"/>
      <c r="D21" s="1" t="s">
        <v>82</v>
      </c>
      <c r="E21" s="3">
        <v>0</v>
      </c>
      <c r="F21" s="29"/>
      <c r="G21" s="3">
        <v>47.02</v>
      </c>
      <c r="H21" s="18"/>
      <c r="I21" s="3">
        <f t="shared" si="0"/>
        <v>-47.02</v>
      </c>
      <c r="J21" s="18"/>
      <c r="K21" s="10">
        <f t="shared" si="1"/>
        <v>-1</v>
      </c>
    </row>
    <row r="22" spans="1:11" x14ac:dyDescent="0.35">
      <c r="A22" s="1"/>
      <c r="B22" s="1"/>
      <c r="C22" s="1"/>
      <c r="D22" s="1" t="s">
        <v>78</v>
      </c>
      <c r="E22" s="3">
        <v>0</v>
      </c>
      <c r="F22" s="29"/>
      <c r="G22" s="3">
        <v>3401.49</v>
      </c>
      <c r="H22" s="18"/>
      <c r="I22" s="3">
        <f t="shared" si="0"/>
        <v>-3401.49</v>
      </c>
      <c r="J22" s="18"/>
      <c r="K22" s="10">
        <f t="shared" si="1"/>
        <v>-1</v>
      </c>
    </row>
    <row r="23" spans="1:11" x14ac:dyDescent="0.35">
      <c r="A23" s="1"/>
      <c r="B23" s="1"/>
      <c r="C23" s="1"/>
      <c r="D23" s="1" t="s">
        <v>80</v>
      </c>
      <c r="E23" s="3">
        <v>0</v>
      </c>
      <c r="F23" s="29"/>
      <c r="G23" s="3">
        <v>1389.65</v>
      </c>
      <c r="H23" s="18"/>
      <c r="I23" s="3">
        <f t="shared" si="0"/>
        <v>-1389.65</v>
      </c>
      <c r="J23" s="18"/>
      <c r="K23" s="10">
        <f t="shared" si="1"/>
        <v>-1</v>
      </c>
    </row>
    <row r="24" spans="1:11" ht="15" thickBot="1" x14ac:dyDescent="0.4">
      <c r="A24" s="1"/>
      <c r="B24" s="1"/>
      <c r="C24" s="1"/>
      <c r="D24" s="1" t="s">
        <v>87</v>
      </c>
      <c r="E24" s="4">
        <v>0</v>
      </c>
      <c r="F24" s="29"/>
      <c r="G24" s="4">
        <v>47.37</v>
      </c>
      <c r="H24" s="18"/>
      <c r="I24" s="4">
        <f t="shared" si="0"/>
        <v>-47.37</v>
      </c>
      <c r="J24" s="18"/>
      <c r="K24" s="11">
        <f t="shared" si="1"/>
        <v>-1</v>
      </c>
    </row>
    <row r="25" spans="1:11" x14ac:dyDescent="0.35">
      <c r="A25" s="1"/>
      <c r="B25" s="1"/>
      <c r="C25" s="1" t="s">
        <v>3</v>
      </c>
      <c r="D25" s="1"/>
      <c r="E25" s="3">
        <f>ROUND(E4+E7+E5+E8+E6+SUM(E11:E13)+E10+E23+E22+E24+E9+E21+E20+E19+E18+E17+E16+SUM(E14:E15),5)</f>
        <v>1362643.59</v>
      </c>
      <c r="F25" s="29"/>
      <c r="G25" s="3">
        <f>ROUND(G4+G7+G5+G8+G6+SUM(G11:G13)+G10+G23+G22+G24+G9+G21+G20+G19+G18+G17+G16+SUM(G14:G15),5)</f>
        <v>1317497.8600000001</v>
      </c>
      <c r="H25" s="18"/>
      <c r="I25" s="3">
        <f t="shared" si="0"/>
        <v>45145.73</v>
      </c>
      <c r="J25" s="18"/>
      <c r="K25" s="10">
        <f t="shared" si="1"/>
        <v>3.4270000000000002E-2</v>
      </c>
    </row>
    <row r="26" spans="1:11" x14ac:dyDescent="0.35">
      <c r="A26" s="1"/>
      <c r="B26" s="1"/>
      <c r="C26" s="1" t="s">
        <v>4</v>
      </c>
      <c r="D26" s="1"/>
      <c r="E26" s="3"/>
      <c r="F26" s="29"/>
      <c r="G26" s="3"/>
      <c r="H26" s="18"/>
      <c r="I26" s="3"/>
      <c r="J26" s="18"/>
      <c r="K26" s="10"/>
    </row>
    <row r="27" spans="1:11" x14ac:dyDescent="0.35">
      <c r="A27" s="1"/>
      <c r="B27" s="1"/>
      <c r="C27" s="1"/>
      <c r="D27" s="1" t="s">
        <v>27</v>
      </c>
      <c r="E27" s="3">
        <v>549126.01</v>
      </c>
      <c r="F27" s="29"/>
      <c r="G27" s="3">
        <v>0</v>
      </c>
      <c r="H27" s="18"/>
      <c r="I27" s="3">
        <f t="shared" ref="I27:I45" si="2">ROUND((E27-G27),5)</f>
        <v>549126.01</v>
      </c>
      <c r="J27" s="18"/>
      <c r="K27" s="10">
        <f t="shared" ref="K27:K45" si="3">ROUND(IF(E27=0, IF(G27=0, 0, SIGN(-G27)), IF(G27=0, SIGN(E27), (E27-G27)/ABS(G27))),5)</f>
        <v>1</v>
      </c>
    </row>
    <row r="28" spans="1:11" x14ac:dyDescent="0.35">
      <c r="A28" s="1"/>
      <c r="B28" s="1"/>
      <c r="C28" s="1"/>
      <c r="D28" s="1" t="s">
        <v>39</v>
      </c>
      <c r="E28" s="3">
        <v>37645.230000000003</v>
      </c>
      <c r="F28" s="29"/>
      <c r="G28" s="3">
        <v>291781.05</v>
      </c>
      <c r="H28" s="18"/>
      <c r="I28" s="3">
        <f t="shared" si="2"/>
        <v>-254135.82</v>
      </c>
      <c r="J28" s="18"/>
      <c r="K28" s="10">
        <f t="shared" si="3"/>
        <v>-0.87097999999999998</v>
      </c>
    </row>
    <row r="29" spans="1:11" x14ac:dyDescent="0.35">
      <c r="A29" s="1"/>
      <c r="B29" s="1"/>
      <c r="C29" s="1"/>
      <c r="D29" s="1" t="s">
        <v>38</v>
      </c>
      <c r="E29" s="3">
        <v>29058.38</v>
      </c>
      <c r="F29" s="29"/>
      <c r="G29" s="3">
        <v>84344.56</v>
      </c>
      <c r="H29" s="18"/>
      <c r="I29" s="3">
        <f t="shared" si="2"/>
        <v>-55286.18</v>
      </c>
      <c r="J29" s="18"/>
      <c r="K29" s="10">
        <f t="shared" si="3"/>
        <v>-0.65547999999999995</v>
      </c>
    </row>
    <row r="30" spans="1:11" x14ac:dyDescent="0.35">
      <c r="A30" s="1"/>
      <c r="B30" s="1"/>
      <c r="C30" s="1"/>
      <c r="D30" s="1" t="s">
        <v>45</v>
      </c>
      <c r="E30" s="3">
        <v>3126.52</v>
      </c>
      <c r="F30" s="29"/>
      <c r="G30" s="3">
        <v>30.29</v>
      </c>
      <c r="H30" s="18"/>
      <c r="I30" s="3">
        <f t="shared" si="2"/>
        <v>3096.23</v>
      </c>
      <c r="J30" s="18"/>
      <c r="K30" s="10">
        <f t="shared" si="3"/>
        <v>102.21953999999999</v>
      </c>
    </row>
    <row r="31" spans="1:11" x14ac:dyDescent="0.35">
      <c r="A31" s="1"/>
      <c r="B31" s="1"/>
      <c r="C31" s="1"/>
      <c r="D31" s="1" t="s">
        <v>46</v>
      </c>
      <c r="E31" s="3">
        <v>546.49</v>
      </c>
      <c r="F31" s="29"/>
      <c r="G31" s="3">
        <v>-2268.7199999999998</v>
      </c>
      <c r="H31" s="18"/>
      <c r="I31" s="3">
        <f t="shared" si="2"/>
        <v>2815.21</v>
      </c>
      <c r="J31" s="18"/>
      <c r="K31" s="10">
        <f t="shared" si="3"/>
        <v>1.24088</v>
      </c>
    </row>
    <row r="32" spans="1:11" x14ac:dyDescent="0.35">
      <c r="A32" s="1"/>
      <c r="B32" s="1"/>
      <c r="C32" s="1"/>
      <c r="D32" s="1" t="s">
        <v>96</v>
      </c>
      <c r="E32" s="3">
        <v>0</v>
      </c>
      <c r="F32" s="29"/>
      <c r="G32" s="3">
        <v>3167.46</v>
      </c>
      <c r="H32" s="18"/>
      <c r="I32" s="3">
        <f t="shared" si="2"/>
        <v>-3167.46</v>
      </c>
      <c r="J32" s="18"/>
      <c r="K32" s="10">
        <f t="shared" si="3"/>
        <v>-1</v>
      </c>
    </row>
    <row r="33" spans="1:11" x14ac:dyDescent="0.35">
      <c r="A33" s="1"/>
      <c r="B33" s="1"/>
      <c r="C33" s="1"/>
      <c r="D33" s="1" t="s">
        <v>90</v>
      </c>
      <c r="E33" s="3">
        <v>0</v>
      </c>
      <c r="F33" s="29"/>
      <c r="G33" s="3">
        <v>3333.79</v>
      </c>
      <c r="H33" s="18"/>
      <c r="I33" s="3">
        <f t="shared" si="2"/>
        <v>-3333.79</v>
      </c>
      <c r="J33" s="18"/>
      <c r="K33" s="10">
        <f t="shared" si="3"/>
        <v>-1</v>
      </c>
    </row>
    <row r="34" spans="1:11" x14ac:dyDescent="0.35">
      <c r="A34" s="1"/>
      <c r="B34" s="1"/>
      <c r="C34" s="1"/>
      <c r="D34" s="1" t="s">
        <v>92</v>
      </c>
      <c r="E34" s="3">
        <v>0</v>
      </c>
      <c r="F34" s="29"/>
      <c r="G34" s="3">
        <v>18.690000000000001</v>
      </c>
      <c r="H34" s="18"/>
      <c r="I34" s="3">
        <f t="shared" si="2"/>
        <v>-18.690000000000001</v>
      </c>
      <c r="J34" s="18"/>
      <c r="K34" s="10">
        <f t="shared" si="3"/>
        <v>-1</v>
      </c>
    </row>
    <row r="35" spans="1:11" x14ac:dyDescent="0.35">
      <c r="A35" s="1"/>
      <c r="B35" s="1"/>
      <c r="C35" s="1"/>
      <c r="D35" s="1" t="s">
        <v>91</v>
      </c>
      <c r="E35" s="3">
        <v>0</v>
      </c>
      <c r="F35" s="29"/>
      <c r="G35" s="3">
        <v>82.04</v>
      </c>
      <c r="H35" s="18"/>
      <c r="I35" s="3">
        <f t="shared" si="2"/>
        <v>-82.04</v>
      </c>
      <c r="J35" s="18"/>
      <c r="K35" s="10">
        <f t="shared" si="3"/>
        <v>-1</v>
      </c>
    </row>
    <row r="36" spans="1:11" x14ac:dyDescent="0.35">
      <c r="A36" s="1"/>
      <c r="B36" s="1"/>
      <c r="C36" s="1"/>
      <c r="D36" s="1" t="s">
        <v>89</v>
      </c>
      <c r="E36" s="3">
        <v>0</v>
      </c>
      <c r="F36" s="29"/>
      <c r="G36" s="3">
        <v>-413.02</v>
      </c>
      <c r="H36" s="18"/>
      <c r="I36" s="3">
        <f t="shared" si="2"/>
        <v>413.02</v>
      </c>
      <c r="J36" s="18"/>
      <c r="K36" s="10">
        <f t="shared" si="3"/>
        <v>1</v>
      </c>
    </row>
    <row r="37" spans="1:11" ht="15" thickBot="1" x14ac:dyDescent="0.4">
      <c r="A37" s="1"/>
      <c r="B37" s="1"/>
      <c r="C37" s="1"/>
      <c r="D37" s="1" t="s">
        <v>88</v>
      </c>
      <c r="E37" s="3">
        <v>0</v>
      </c>
      <c r="F37" s="29"/>
      <c r="G37" s="3">
        <v>182.69</v>
      </c>
      <c r="H37" s="18"/>
      <c r="I37" s="3">
        <f t="shared" si="2"/>
        <v>-182.69</v>
      </c>
      <c r="J37" s="18"/>
      <c r="K37" s="10">
        <f t="shared" si="3"/>
        <v>-1</v>
      </c>
    </row>
    <row r="38" spans="1:11" ht="15" thickBot="1" x14ac:dyDescent="0.4">
      <c r="A38" s="1"/>
      <c r="B38" s="1"/>
      <c r="C38" s="1" t="s">
        <v>5</v>
      </c>
      <c r="D38" s="1"/>
      <c r="E38" s="21">
        <f>ROUND(SUM(E26:E29)+E31+SUM(E36:E37)+E30+E35+E34+E33+E32,5)</f>
        <v>619502.63</v>
      </c>
      <c r="F38" s="29"/>
      <c r="G38" s="21">
        <f>ROUND(SUM(G26:G29)+G31+SUM(G36:G37)+G30+G35+G34+G33+G32,5)</f>
        <v>380258.83</v>
      </c>
      <c r="H38" s="18"/>
      <c r="I38" s="21">
        <f t="shared" si="2"/>
        <v>239243.8</v>
      </c>
      <c r="J38" s="18"/>
      <c r="K38" s="20">
        <f t="shared" si="3"/>
        <v>0.62916000000000005</v>
      </c>
    </row>
    <row r="39" spans="1:11" x14ac:dyDescent="0.35">
      <c r="A39" s="1"/>
      <c r="B39" s="1" t="s">
        <v>6</v>
      </c>
      <c r="C39" s="1"/>
      <c r="D39" s="1"/>
      <c r="E39" s="3">
        <f>ROUND(E3+E25+E38,5)</f>
        <v>1982146.22</v>
      </c>
      <c r="F39" s="29"/>
      <c r="G39" s="3">
        <f>ROUND(G3+G25+G38,5)</f>
        <v>1697756.69</v>
      </c>
      <c r="H39" s="18"/>
      <c r="I39" s="3">
        <f t="shared" si="2"/>
        <v>284389.53000000003</v>
      </c>
      <c r="J39" s="18"/>
      <c r="K39" s="10">
        <f t="shared" si="3"/>
        <v>0.16750999999999999</v>
      </c>
    </row>
    <row r="40" spans="1:11" x14ac:dyDescent="0.35">
      <c r="A40" s="1"/>
      <c r="B40" s="1" t="s">
        <v>7</v>
      </c>
      <c r="C40" s="1"/>
      <c r="D40" s="1"/>
      <c r="E40" s="3">
        <v>1049.3599999999999</v>
      </c>
      <c r="F40" s="29"/>
      <c r="G40" s="3">
        <v>1750.66</v>
      </c>
      <c r="H40" s="18"/>
      <c r="I40" s="3">
        <f t="shared" si="2"/>
        <v>-701.3</v>
      </c>
      <c r="J40" s="18"/>
      <c r="K40" s="10">
        <f t="shared" si="3"/>
        <v>-0.40059</v>
      </c>
    </row>
    <row r="41" spans="1:11" x14ac:dyDescent="0.35">
      <c r="A41" s="1"/>
      <c r="B41" s="1" t="s">
        <v>43</v>
      </c>
      <c r="C41" s="1"/>
      <c r="D41" s="1"/>
      <c r="E41" s="3">
        <v>514.29999999999995</v>
      </c>
      <c r="F41" s="29"/>
      <c r="G41" s="3">
        <v>1491.1</v>
      </c>
      <c r="H41" s="18"/>
      <c r="I41" s="3">
        <f t="shared" si="2"/>
        <v>-976.8</v>
      </c>
      <c r="J41" s="18"/>
      <c r="K41" s="10">
        <f t="shared" si="3"/>
        <v>-0.65508999999999995</v>
      </c>
    </row>
    <row r="42" spans="1:11" ht="15" thickBot="1" x14ac:dyDescent="0.4">
      <c r="A42" s="1"/>
      <c r="B42" s="1" t="s">
        <v>44</v>
      </c>
      <c r="C42" s="1"/>
      <c r="D42" s="1"/>
      <c r="E42" s="4">
        <v>10</v>
      </c>
      <c r="F42" s="29"/>
      <c r="G42" s="4">
        <v>10</v>
      </c>
      <c r="H42" s="18"/>
      <c r="I42" s="4">
        <f t="shared" si="2"/>
        <v>0</v>
      </c>
      <c r="J42" s="18"/>
      <c r="K42" s="11">
        <f t="shared" si="3"/>
        <v>0</v>
      </c>
    </row>
    <row r="43" spans="1:11" x14ac:dyDescent="0.35">
      <c r="A43" s="1" t="s">
        <v>8</v>
      </c>
      <c r="B43" s="1"/>
      <c r="C43" s="1"/>
      <c r="D43" s="1"/>
      <c r="E43" s="22">
        <f>ROUND(E2+SUM(E39:E42),5)</f>
        <v>1983719.88</v>
      </c>
      <c r="F43" s="29"/>
      <c r="G43" s="3">
        <f>ROUND(G2+SUM(G39:G42),5)</f>
        <v>1701008.45</v>
      </c>
      <c r="H43" s="18"/>
      <c r="I43" s="3">
        <f t="shared" si="2"/>
        <v>282711.43</v>
      </c>
      <c r="J43" s="18"/>
      <c r="K43" s="10">
        <f t="shared" si="3"/>
        <v>0.16619999999999999</v>
      </c>
    </row>
    <row r="44" spans="1:11" ht="15" thickBot="1" x14ac:dyDescent="0.4">
      <c r="A44" s="1" t="s">
        <v>30</v>
      </c>
      <c r="B44" s="1"/>
      <c r="C44" s="1"/>
      <c r="D44" s="1"/>
      <c r="E44" s="3">
        <v>0</v>
      </c>
      <c r="F44" s="29"/>
      <c r="G44" s="3">
        <v>0</v>
      </c>
      <c r="H44" s="18"/>
      <c r="I44" s="3">
        <f t="shared" si="2"/>
        <v>0</v>
      </c>
      <c r="J44" s="18"/>
      <c r="K44" s="10">
        <f t="shared" si="3"/>
        <v>0</v>
      </c>
    </row>
    <row r="45" spans="1:11" ht="15" thickBot="1" x14ac:dyDescent="0.4">
      <c r="A45" s="1"/>
      <c r="B45" s="1"/>
      <c r="C45" s="1"/>
      <c r="D45" s="1"/>
      <c r="E45" s="42">
        <f>ROUND(E43-E44,5)</f>
        <v>1983719.88</v>
      </c>
      <c r="F45" s="30"/>
      <c r="G45" s="14">
        <f>ROUND(G43-G44,5)</f>
        <v>1701008.45</v>
      </c>
      <c r="H45" s="1"/>
      <c r="I45" s="14">
        <f t="shared" si="2"/>
        <v>282711.43</v>
      </c>
      <c r="J45" s="1"/>
      <c r="K45" s="15">
        <f t="shared" si="3"/>
        <v>0.16619999999999999</v>
      </c>
    </row>
    <row r="46" spans="1:11" ht="15" thickTop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6 and 10 Year AMO Overview</vt:lpstr>
      <vt:lpstr>2020-21</vt:lpstr>
      <vt:lpstr>2019-20</vt:lpstr>
      <vt:lpstr>2018-19</vt:lpstr>
      <vt:lpstr>2017-18</vt:lpstr>
      <vt:lpstr>2016-17</vt:lpstr>
      <vt:lpstr>2015-16</vt:lpstr>
      <vt:lpstr>2014-15</vt:lpstr>
      <vt:lpstr>2013-14</vt:lpstr>
      <vt:lpstr>2012-13</vt:lpstr>
      <vt:lpstr>2011-12</vt:lpstr>
      <vt:lpstr>Alert</vt:lpstr>
      <vt:lpstr>'2014-15'!Print_Titles</vt:lpstr>
      <vt:lpstr>'2015-16'!Print_Titles</vt:lpstr>
      <vt:lpstr>'2016-17'!Print_Titles</vt:lpstr>
      <vt:lpstr>'2017-18'!Print_Titles</vt:lpstr>
      <vt:lpstr>'2018-19'!Print_Titles</vt:lpstr>
      <vt:lpstr>'2019-20'!Print_Titles</vt:lpstr>
      <vt:lpstr>'2020-21'!Print_Titles</vt:lpstr>
      <vt:lpstr>'6 and 10 Year AMO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Shattuck</dc:creator>
  <cp:lastModifiedBy>Shattuck, William (AGM)</cp:lastModifiedBy>
  <dcterms:created xsi:type="dcterms:W3CDTF">2019-06-26T16:20:35Z</dcterms:created>
  <dcterms:modified xsi:type="dcterms:W3CDTF">2022-04-27T18:30:15Z</dcterms:modified>
</cp:coreProperties>
</file>